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0305" yWindow="-15" windowWidth="10230" windowHeight="8700"/>
  </bookViews>
  <sheets>
    <sheet name="List1" sheetId="1" r:id="rId1"/>
    <sheet name="List2" sheetId="2" r:id="rId2"/>
    <sheet name="List3" sheetId="3" r:id="rId3"/>
    <sheet name="DV-IDENTITY-0" sheetId="4" state="veryHidden" r:id="rId4"/>
  </sheets>
  <definedNames>
    <definedName name="_xlnm.Print_Area" localSheetId="0">List1!$A$1:$F$111</definedName>
  </definedNames>
  <calcPr calcId="125725"/>
</workbook>
</file>

<file path=xl/calcChain.xml><?xml version="1.0" encoding="utf-8"?>
<calcChain xmlns="http://schemas.openxmlformats.org/spreadsheetml/2006/main">
  <c r="A7" i="4"/>
  <c r="A6"/>
  <c r="B6"/>
  <c r="C6"/>
  <c r="D6"/>
  <c r="E6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BM6"/>
  <c r="BN6"/>
  <c r="BO6"/>
  <c r="BP6"/>
  <c r="BQ6"/>
  <c r="BR6"/>
  <c r="BS6"/>
  <c r="BT6"/>
  <c r="BU6"/>
  <c r="BV6"/>
  <c r="BW6"/>
  <c r="BX6"/>
  <c r="BY6"/>
  <c r="BZ6"/>
  <c r="CA6"/>
  <c r="CB6"/>
  <c r="CC6"/>
  <c r="CD6"/>
  <c r="CE6"/>
  <c r="CF6"/>
  <c r="CG6"/>
  <c r="CH6"/>
  <c r="CI6"/>
  <c r="A5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BM5"/>
  <c r="BN5"/>
  <c r="BO5"/>
  <c r="BP5"/>
  <c r="BQ5"/>
  <c r="BR5"/>
  <c r="BS5"/>
  <c r="BT5"/>
  <c r="BU5"/>
  <c r="BV5"/>
  <c r="BW5"/>
  <c r="BX5"/>
  <c r="BY5"/>
  <c r="BZ5"/>
  <c r="CA5"/>
  <c r="CB5"/>
  <c r="CC5"/>
  <c r="CD5"/>
  <c r="CE5"/>
  <c r="CF5"/>
  <c r="CG5"/>
  <c r="CH5"/>
  <c r="CI5"/>
  <c r="CJ5"/>
  <c r="CK5"/>
  <c r="CL5"/>
  <c r="CM5"/>
  <c r="CN5"/>
  <c r="CO5"/>
  <c r="CP5"/>
  <c r="CQ5"/>
  <c r="CR5"/>
  <c r="CS5"/>
  <c r="CT5"/>
  <c r="CU5"/>
  <c r="CV5"/>
  <c r="CW5"/>
  <c r="CX5"/>
  <c r="CY5"/>
  <c r="CZ5"/>
  <c r="DA5"/>
  <c r="DB5"/>
  <c r="DC5"/>
  <c r="DD5"/>
  <c r="DE5"/>
  <c r="DF5"/>
  <c r="DG5"/>
  <c r="DH5"/>
  <c r="DI5"/>
  <c r="DJ5"/>
  <c r="DK5"/>
  <c r="DL5"/>
  <c r="DM5"/>
  <c r="DN5"/>
  <c r="DO5"/>
  <c r="DP5"/>
  <c r="DQ5"/>
  <c r="DR5"/>
  <c r="DS5"/>
  <c r="DT5"/>
  <c r="DU5"/>
  <c r="DV5"/>
  <c r="DW5"/>
  <c r="DX5"/>
  <c r="DY5"/>
  <c r="DZ5"/>
  <c r="EA5"/>
  <c r="EB5"/>
  <c r="EC5"/>
  <c r="ED5"/>
  <c r="EE5"/>
  <c r="EF5"/>
  <c r="EG5"/>
  <c r="EH5"/>
  <c r="EI5"/>
  <c r="EJ5"/>
  <c r="EK5"/>
  <c r="EL5"/>
  <c r="EM5"/>
  <c r="EN5"/>
  <c r="EO5"/>
  <c r="EP5"/>
  <c r="EQ5"/>
  <c r="ER5"/>
  <c r="ES5"/>
  <c r="ET5"/>
  <c r="EU5"/>
  <c r="EV5"/>
  <c r="EW5"/>
  <c r="EX5"/>
  <c r="EY5"/>
  <c r="EZ5"/>
  <c r="FA5"/>
  <c r="FB5"/>
  <c r="FC5"/>
  <c r="FD5"/>
  <c r="FE5"/>
  <c r="FF5"/>
  <c r="FG5"/>
  <c r="FH5"/>
  <c r="FI5"/>
  <c r="FJ5"/>
  <c r="FK5"/>
  <c r="FL5"/>
  <c r="FM5"/>
  <c r="FN5"/>
  <c r="FO5"/>
  <c r="FP5"/>
  <c r="FQ5"/>
  <c r="FR5"/>
  <c r="FS5"/>
  <c r="FT5"/>
  <c r="FU5"/>
  <c r="FV5"/>
  <c r="FW5"/>
  <c r="FX5"/>
  <c r="FY5"/>
  <c r="FZ5"/>
  <c r="GA5"/>
  <c r="GB5"/>
  <c r="GC5"/>
  <c r="GD5"/>
  <c r="GE5"/>
  <c r="GF5"/>
  <c r="GG5"/>
  <c r="GH5"/>
  <c r="GI5"/>
  <c r="GJ5"/>
  <c r="GK5"/>
  <c r="GL5"/>
  <c r="GM5"/>
  <c r="GN5"/>
  <c r="GO5"/>
  <c r="GP5"/>
  <c r="GQ5"/>
  <c r="GR5"/>
  <c r="GS5"/>
  <c r="GT5"/>
  <c r="GU5"/>
  <c r="GV5"/>
  <c r="GW5"/>
  <c r="GX5"/>
  <c r="GY5"/>
  <c r="GZ5"/>
  <c r="HA5"/>
  <c r="HB5"/>
  <c r="HC5"/>
  <c r="HD5"/>
  <c r="HE5"/>
  <c r="HF5"/>
  <c r="HG5"/>
  <c r="HH5"/>
  <c r="HI5"/>
  <c r="HJ5"/>
  <c r="HK5"/>
  <c r="HL5"/>
  <c r="HM5"/>
  <c r="HN5"/>
  <c r="HO5"/>
  <c r="HP5"/>
  <c r="HQ5"/>
  <c r="HR5"/>
  <c r="HS5"/>
  <c r="HT5"/>
  <c r="HU5"/>
  <c r="HV5"/>
  <c r="HW5"/>
  <c r="HX5"/>
  <c r="HY5"/>
  <c r="HZ5"/>
  <c r="IA5"/>
  <c r="IB5"/>
  <c r="IC5"/>
  <c r="ID5"/>
  <c r="IE5"/>
  <c r="IF5"/>
  <c r="IG5"/>
  <c r="IH5"/>
  <c r="II5"/>
  <c r="IJ5"/>
  <c r="IK5"/>
  <c r="IL5"/>
  <c r="IM5"/>
  <c r="IN5"/>
  <c r="IO5"/>
  <c r="IP5"/>
  <c r="IQ5"/>
  <c r="IR5"/>
  <c r="IS5"/>
  <c r="IT5"/>
  <c r="IU5"/>
  <c r="IV5"/>
  <c r="A4"/>
  <c r="B4"/>
  <c r="C4"/>
  <c r="D4"/>
  <c r="E4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3"/>
  <c r="B3"/>
  <c r="C3"/>
  <c r="D3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BM3"/>
  <c r="BN3"/>
  <c r="BO3"/>
  <c r="BP3"/>
  <c r="BQ3"/>
  <c r="BR3"/>
  <c r="BS3"/>
  <c r="BT3"/>
  <c r="BU3"/>
  <c r="BV3"/>
  <c r="BW3"/>
  <c r="BX3"/>
  <c r="BY3"/>
  <c r="BZ3"/>
  <c r="CA3"/>
  <c r="CB3"/>
  <c r="CC3"/>
  <c r="CD3"/>
  <c r="CE3"/>
  <c r="CF3"/>
  <c r="CG3"/>
  <c r="CH3"/>
  <c r="CI3"/>
  <c r="CJ3"/>
  <c r="CK3"/>
  <c r="CL3"/>
  <c r="CM3"/>
  <c r="CN3"/>
  <c r="CO3"/>
  <c r="CP3"/>
  <c r="CQ3"/>
  <c r="CR3"/>
  <c r="CS3"/>
  <c r="CT3"/>
  <c r="CU3"/>
  <c r="CV3"/>
  <c r="CW3"/>
  <c r="CX3"/>
  <c r="CY3"/>
  <c r="CZ3"/>
  <c r="DA3"/>
  <c r="DB3"/>
  <c r="DC3"/>
  <c r="DD3"/>
  <c r="DE3"/>
  <c r="DF3"/>
  <c r="DG3"/>
  <c r="DH3"/>
  <c r="DI3"/>
  <c r="DJ3"/>
  <c r="DK3"/>
  <c r="DL3"/>
  <c r="DM3"/>
  <c r="DN3"/>
  <c r="DO3"/>
  <c r="DP3"/>
  <c r="DQ3"/>
  <c r="DR3"/>
  <c r="DS3"/>
  <c r="DT3"/>
  <c r="DU3"/>
  <c r="DV3"/>
  <c r="DW3"/>
  <c r="DX3"/>
  <c r="DY3"/>
  <c r="DZ3"/>
  <c r="EA3"/>
  <c r="EB3"/>
  <c r="EC3"/>
  <c r="ED3"/>
  <c r="EE3"/>
  <c r="EF3"/>
  <c r="EG3"/>
  <c r="EH3"/>
  <c r="EI3"/>
  <c r="EJ3"/>
  <c r="EK3"/>
  <c r="EL3"/>
  <c r="EM3"/>
  <c r="EN3"/>
  <c r="EO3"/>
  <c r="EP3"/>
  <c r="EQ3"/>
  <c r="ER3"/>
  <c r="ES3"/>
  <c r="ET3"/>
  <c r="EU3"/>
  <c r="EV3"/>
  <c r="EW3"/>
  <c r="EX3"/>
  <c r="EY3"/>
  <c r="EZ3"/>
  <c r="FA3"/>
  <c r="FB3"/>
  <c r="FC3"/>
  <c r="FD3"/>
  <c r="FE3"/>
  <c r="FF3"/>
  <c r="FG3"/>
  <c r="FH3"/>
  <c r="FI3"/>
  <c r="FJ3"/>
  <c r="FK3"/>
  <c r="FL3"/>
  <c r="FM3"/>
  <c r="FN3"/>
  <c r="FO3"/>
  <c r="FP3"/>
  <c r="FQ3"/>
  <c r="FR3"/>
  <c r="FS3"/>
  <c r="FT3"/>
  <c r="FU3"/>
  <c r="FV3"/>
  <c r="FW3"/>
  <c r="FX3"/>
  <c r="FY3"/>
  <c r="FZ3"/>
  <c r="GA3"/>
  <c r="GB3"/>
  <c r="GC3"/>
  <c r="GD3"/>
  <c r="GE3"/>
  <c r="GF3"/>
  <c r="GG3"/>
  <c r="GH3"/>
  <c r="GI3"/>
  <c r="GJ3"/>
  <c r="GK3"/>
  <c r="GL3"/>
  <c r="GM3"/>
  <c r="GN3"/>
  <c r="GO3"/>
  <c r="GP3"/>
  <c r="GQ3"/>
  <c r="GR3"/>
  <c r="GS3"/>
  <c r="GT3"/>
  <c r="GU3"/>
  <c r="GV3"/>
  <c r="GW3"/>
  <c r="GX3"/>
  <c r="GY3"/>
  <c r="GZ3"/>
  <c r="HA3"/>
  <c r="HB3"/>
  <c r="HC3"/>
  <c r="HD3"/>
  <c r="HE3"/>
  <c r="HF3"/>
  <c r="HG3"/>
  <c r="HH3"/>
  <c r="HI3"/>
  <c r="HJ3"/>
  <c r="HK3"/>
  <c r="HL3"/>
  <c r="HM3"/>
  <c r="HN3"/>
  <c r="HO3"/>
  <c r="HP3"/>
  <c r="HQ3"/>
  <c r="HR3"/>
  <c r="HS3"/>
  <c r="HT3"/>
  <c r="HU3"/>
  <c r="HV3"/>
  <c r="HW3"/>
  <c r="HX3"/>
  <c r="HY3"/>
  <c r="HZ3"/>
  <c r="IA3"/>
  <c r="IB3"/>
  <c r="IC3"/>
  <c r="ID3"/>
  <c r="IE3"/>
  <c r="IF3"/>
  <c r="IG3"/>
  <c r="IH3"/>
  <c r="II3"/>
  <c r="IJ3"/>
  <c r="IK3"/>
  <c r="IL3"/>
  <c r="IM3"/>
  <c r="IN3"/>
  <c r="IO3"/>
  <c r="IP3"/>
  <c r="IQ3"/>
  <c r="IR3"/>
  <c r="IS3"/>
  <c r="IT3"/>
  <c r="IU3"/>
  <c r="IV3"/>
  <c r="A2"/>
  <c r="B2"/>
  <c r="C2"/>
  <c r="D2"/>
  <c r="E2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  <c r="BM2"/>
  <c r="BN2"/>
  <c r="BO2"/>
  <c r="BP2"/>
  <c r="BQ2"/>
  <c r="BR2"/>
  <c r="BS2"/>
  <c r="BT2"/>
  <c r="BU2"/>
  <c r="BV2"/>
  <c r="BW2"/>
  <c r="BX2"/>
  <c r="BY2"/>
  <c r="BZ2"/>
  <c r="CA2"/>
  <c r="CB2"/>
  <c r="CC2"/>
  <c r="CD2"/>
  <c r="CE2"/>
  <c r="CF2"/>
  <c r="CG2"/>
  <c r="CH2"/>
  <c r="CI2"/>
  <c r="CJ2"/>
  <c r="CK2"/>
  <c r="CL2"/>
  <c r="CM2"/>
  <c r="CN2"/>
  <c r="CO2"/>
  <c r="CP2"/>
  <c r="CQ2"/>
  <c r="CR2"/>
  <c r="CS2"/>
  <c r="CT2"/>
  <c r="CU2"/>
  <c r="CV2"/>
  <c r="CW2"/>
  <c r="CX2"/>
  <c r="CY2"/>
  <c r="CZ2"/>
  <c r="DA2"/>
  <c r="DB2"/>
  <c r="DC2"/>
  <c r="DD2"/>
  <c r="DE2"/>
  <c r="DF2"/>
  <c r="DG2"/>
  <c r="DH2"/>
  <c r="DI2"/>
  <c r="DJ2"/>
  <c r="DK2"/>
  <c r="DL2"/>
  <c r="DM2"/>
  <c r="DN2"/>
  <c r="DO2"/>
  <c r="DP2"/>
  <c r="DQ2"/>
  <c r="DR2"/>
  <c r="DS2"/>
  <c r="DT2"/>
  <c r="DU2"/>
  <c r="DV2"/>
  <c r="DW2"/>
  <c r="DX2"/>
  <c r="DY2"/>
  <c r="DZ2"/>
  <c r="EA2"/>
  <c r="EB2"/>
  <c r="EC2"/>
  <c r="ED2"/>
  <c r="EE2"/>
  <c r="EF2"/>
  <c r="EG2"/>
  <c r="EH2"/>
  <c r="EI2"/>
  <c r="EJ2"/>
  <c r="EK2"/>
  <c r="EL2"/>
  <c r="EM2"/>
  <c r="EN2"/>
  <c r="EO2"/>
  <c r="EP2"/>
  <c r="EQ2"/>
  <c r="ER2"/>
  <c r="ES2"/>
  <c r="ET2"/>
  <c r="EU2"/>
  <c r="EV2"/>
  <c r="EW2"/>
  <c r="EX2"/>
  <c r="EY2"/>
  <c r="EZ2"/>
  <c r="FA2"/>
  <c r="FB2"/>
  <c r="FC2"/>
  <c r="FD2"/>
  <c r="FE2"/>
  <c r="FF2"/>
  <c r="FG2"/>
  <c r="FH2"/>
  <c r="FI2"/>
  <c r="FJ2"/>
  <c r="FK2"/>
  <c r="FL2"/>
  <c r="FM2"/>
  <c r="FN2"/>
  <c r="FO2"/>
  <c r="FP2"/>
  <c r="FQ2"/>
  <c r="FR2"/>
  <c r="FS2"/>
  <c r="FT2"/>
  <c r="FU2"/>
  <c r="FV2"/>
  <c r="FW2"/>
  <c r="FX2"/>
  <c r="FY2"/>
  <c r="FZ2"/>
  <c r="GA2"/>
  <c r="GB2"/>
  <c r="GC2"/>
  <c r="GD2"/>
  <c r="GE2"/>
  <c r="GF2"/>
  <c r="GG2"/>
  <c r="GH2"/>
  <c r="GI2"/>
  <c r="GJ2"/>
  <c r="GK2"/>
  <c r="GL2"/>
  <c r="GM2"/>
  <c r="GN2"/>
  <c r="GO2"/>
  <c r="GP2"/>
  <c r="GQ2"/>
  <c r="GR2"/>
  <c r="GS2"/>
  <c r="GT2"/>
  <c r="GU2"/>
  <c r="GV2"/>
  <c r="GW2"/>
  <c r="GX2"/>
  <c r="GY2"/>
  <c r="GZ2"/>
  <c r="HA2"/>
  <c r="HB2"/>
  <c r="HC2"/>
  <c r="HD2"/>
  <c r="HE2"/>
  <c r="HF2"/>
  <c r="HG2"/>
  <c r="HH2"/>
  <c r="HI2"/>
  <c r="HJ2"/>
  <c r="HK2"/>
  <c r="HL2"/>
  <c r="HM2"/>
  <c r="HN2"/>
  <c r="HO2"/>
  <c r="HP2"/>
  <c r="HQ2"/>
  <c r="HR2"/>
  <c r="HS2"/>
  <c r="HT2"/>
  <c r="HU2"/>
  <c r="HV2"/>
  <c r="HW2"/>
  <c r="HX2"/>
  <c r="HY2"/>
  <c r="HZ2"/>
  <c r="IA2"/>
  <c r="IB2"/>
  <c r="IC2"/>
  <c r="ID2"/>
  <c r="IE2"/>
  <c r="IF2"/>
  <c r="IG2"/>
  <c r="IH2"/>
  <c r="II2"/>
  <c r="IJ2"/>
  <c r="IK2"/>
  <c r="IL2"/>
  <c r="IM2"/>
  <c r="IN2"/>
  <c r="IO2"/>
  <c r="IP2"/>
  <c r="IQ2"/>
  <c r="IR2"/>
  <c r="IS2"/>
  <c r="IT2"/>
  <c r="IU2"/>
  <c r="IV2"/>
  <c r="A1"/>
  <c r="B1"/>
  <c r="C1"/>
  <c r="D1"/>
  <c r="E1"/>
  <c r="F1"/>
  <c r="G1"/>
  <c r="H1"/>
  <c r="I1"/>
</calcChain>
</file>

<file path=xl/sharedStrings.xml><?xml version="1.0" encoding="utf-8"?>
<sst xmlns="http://schemas.openxmlformats.org/spreadsheetml/2006/main" count="196" uniqueCount="138">
  <si>
    <t>Marek Novotný</t>
  </si>
  <si>
    <t>Mikuláš Janda</t>
  </si>
  <si>
    <t>Daniel Purr</t>
  </si>
  <si>
    <t>Vojtěch Jelínek</t>
  </si>
  <si>
    <t>Radim Pecánek</t>
  </si>
  <si>
    <t>Kryštof Pecka</t>
  </si>
  <si>
    <t>David Teplý</t>
  </si>
  <si>
    <t>Tadeáš Till</t>
  </si>
  <si>
    <t>Tomáš Ondráček</t>
  </si>
  <si>
    <t>Jakub Sobotka</t>
  </si>
  <si>
    <t>Viktor Šmejkal</t>
  </si>
  <si>
    <t>Michal Houfek</t>
  </si>
  <si>
    <t>Tomáš Purr</t>
  </si>
  <si>
    <t>Jonas Gerri</t>
  </si>
  <si>
    <t>Kryštof Šubr</t>
  </si>
  <si>
    <t>Viktor Pikálek</t>
  </si>
  <si>
    <t>Elias Scholz</t>
  </si>
  <si>
    <t>Adam Teplý</t>
  </si>
  <si>
    <t>Vít Unzeitig</t>
  </si>
  <si>
    <t>Adam Novotný</t>
  </si>
  <si>
    <t>Tomáš Šeda</t>
  </si>
  <si>
    <t>Adam Zbořil</t>
  </si>
  <si>
    <t>Petr Boháč</t>
  </si>
  <si>
    <t>Marek Sláma</t>
  </si>
  <si>
    <t>Jakub Málek</t>
  </si>
  <si>
    <t>Jan Kerhart</t>
  </si>
  <si>
    <t>Dan Unzeitig</t>
  </si>
  <si>
    <t>Petr Jeřábek</t>
  </si>
  <si>
    <t>Vojtěch Mrkvička</t>
  </si>
  <si>
    <t>Oliver Lukavský</t>
  </si>
  <si>
    <t xml:space="preserve">Richard Kloubský </t>
  </si>
  <si>
    <t>Daniel Novotný</t>
  </si>
  <si>
    <t>Vojtěch Blahunek</t>
  </si>
  <si>
    <t>Viktor Kubík</t>
  </si>
  <si>
    <t>Tomáš Vítek</t>
  </si>
  <si>
    <t>Jan Šilha</t>
  </si>
  <si>
    <t>Adam Cepník</t>
  </si>
  <si>
    <t>Filip Hliňák</t>
  </si>
  <si>
    <t>Šplh</t>
  </si>
  <si>
    <t>1/2</t>
  </si>
  <si>
    <t xml:space="preserve">Ročník </t>
  </si>
  <si>
    <t>Umístění</t>
  </si>
  <si>
    <t xml:space="preserve">Bodů </t>
  </si>
  <si>
    <t>Jméno a příjmení</t>
  </si>
  <si>
    <t>Pro další nácvik a účast na závodech byli vybráni:</t>
  </si>
  <si>
    <t>Zpracoval: ČEDOK</t>
  </si>
  <si>
    <t>Zpracoval: Čedok</t>
  </si>
  <si>
    <t xml:space="preserve">Výsledky nominačních závodů </t>
  </si>
  <si>
    <t>ve sportovní gymnastice a šplhu</t>
  </si>
  <si>
    <t>Mladší žáci I.  2005 - 2007</t>
  </si>
  <si>
    <t>Mladší žáci II. 2003  - 2004</t>
  </si>
  <si>
    <t>Starší žáci III. 2001 - 2002</t>
  </si>
  <si>
    <t>Starší žáci IV. 1999 - 2000</t>
  </si>
  <si>
    <t>Lukáš Berner</t>
  </si>
  <si>
    <t>Bartoloměj Koudela</t>
  </si>
  <si>
    <t>Karel Jabor</t>
  </si>
  <si>
    <t>Jan Pikálek</t>
  </si>
  <si>
    <t>Tomáš Daniel Ryba</t>
  </si>
  <si>
    <t>Filip Tupý</t>
  </si>
  <si>
    <t>Šimon Hajt</t>
  </si>
  <si>
    <t>Jan Kroh</t>
  </si>
  <si>
    <t>Jan Lukeš</t>
  </si>
  <si>
    <t>Patrik Hladík</t>
  </si>
  <si>
    <t>13,0</t>
  </si>
  <si>
    <t>Michael Novotný</t>
  </si>
  <si>
    <t>Jakub Dvořák</t>
  </si>
  <si>
    <t>Jaromír Vaněčka</t>
  </si>
  <si>
    <t>Patrik Kubín</t>
  </si>
  <si>
    <t>29</t>
  </si>
  <si>
    <t>12</t>
  </si>
  <si>
    <t>26</t>
  </si>
  <si>
    <t>3/4</t>
  </si>
  <si>
    <t>Tomáš Kléger</t>
  </si>
  <si>
    <t>Jan Toman</t>
  </si>
  <si>
    <t>Benjamin Florián</t>
  </si>
  <si>
    <t>Tomáš Coufal</t>
  </si>
  <si>
    <t>Jakub Kudláček</t>
  </si>
  <si>
    <t>Dalibor Svoboda</t>
  </si>
  <si>
    <t>Daniel Procházka</t>
  </si>
  <si>
    <t>Filip Hajt</t>
  </si>
  <si>
    <t>Adam Peter</t>
  </si>
  <si>
    <t>Petr Šimáček</t>
  </si>
  <si>
    <t>Matěj Havlík</t>
  </si>
  <si>
    <t>Jakub Filip</t>
  </si>
  <si>
    <t>7,4</t>
  </si>
  <si>
    <t>9,6</t>
  </si>
  <si>
    <t>24,9</t>
  </si>
  <si>
    <t>6,7</t>
  </si>
  <si>
    <t>17,3</t>
  </si>
  <si>
    <t>21</t>
  </si>
  <si>
    <t>12,6</t>
  </si>
  <si>
    <t>7,1</t>
  </si>
  <si>
    <t>8,8</t>
  </si>
  <si>
    <t>Vilém Nachtmann</t>
  </si>
  <si>
    <t>Radek Ulmann</t>
  </si>
  <si>
    <t>Jáchym Grohmann</t>
  </si>
  <si>
    <t>Adam Fűrstenzeller</t>
  </si>
  <si>
    <t>David Hrnčiřík</t>
  </si>
  <si>
    <t>Šimon Hejnic</t>
  </si>
  <si>
    <t>Matěj Marek</t>
  </si>
  <si>
    <t>Daniel Kadlec</t>
  </si>
  <si>
    <t>7</t>
  </si>
  <si>
    <t>10</t>
  </si>
  <si>
    <t>11</t>
  </si>
  <si>
    <t>12-13</t>
  </si>
  <si>
    <t>14-15</t>
  </si>
  <si>
    <t>16</t>
  </si>
  <si>
    <t>19</t>
  </si>
  <si>
    <t>20</t>
  </si>
  <si>
    <t>22</t>
  </si>
  <si>
    <t>23</t>
  </si>
  <si>
    <t>13-15</t>
  </si>
  <si>
    <t>1</t>
  </si>
  <si>
    <t>4</t>
  </si>
  <si>
    <t>8</t>
  </si>
  <si>
    <t>9-10</t>
  </si>
  <si>
    <t>13</t>
  </si>
  <si>
    <t>14</t>
  </si>
  <si>
    <t>15</t>
  </si>
  <si>
    <t>17</t>
  </si>
  <si>
    <t>18</t>
  </si>
  <si>
    <t>2</t>
  </si>
  <si>
    <t>3</t>
  </si>
  <si>
    <t xml:space="preserve">Patrik Hladík, Jan Pikálek, Viktor Šmejkal, Marek Novotný, Mikuláš Janda, </t>
  </si>
  <si>
    <t>Daniel Purr, Tomáš Ondráček</t>
  </si>
  <si>
    <t>Náhradník: Tomáš Kléger, Tadeáš Till</t>
  </si>
  <si>
    <t>Tomáš Purr, Jonas Gerri, Petr Boháč, Adam Novotný, Viktor Pikálek</t>
  </si>
  <si>
    <t>Richard Kloubský, Jakub Málek</t>
  </si>
  <si>
    <t>Dan Unzeitig, Petr Jeřábek, Vojtěch Blahunek</t>
  </si>
  <si>
    <t>Náhradník: Jáchym Gromann</t>
  </si>
  <si>
    <t>5</t>
  </si>
  <si>
    <t>6</t>
  </si>
  <si>
    <t>9</t>
  </si>
  <si>
    <t>U shodného počtu bodu ze SG, rozhodovalo pořadí ve šlhu.</t>
  </si>
  <si>
    <t>Dorostenci</t>
  </si>
  <si>
    <t>Vilém Nachtmann, Jakub Kudláček, Vít Unzeitig</t>
  </si>
  <si>
    <t>Náhradníci: Adam Peter,Tomáš Šeda</t>
  </si>
  <si>
    <t>T. J. SOKOL LIBEŇ</t>
  </si>
</sst>
</file>

<file path=xl/styles.xml><?xml version="1.0" encoding="utf-8"?>
<styleSheet xmlns="http://schemas.openxmlformats.org/spreadsheetml/2006/main">
  <numFmts count="1">
    <numFmt numFmtId="164" formatCode="0.0"/>
  </numFmts>
  <fonts count="47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Arial"/>
      <family val="2"/>
      <charset val="238"/>
    </font>
    <font>
      <b/>
      <sz val="20"/>
      <color indexed="8"/>
      <name val="Arial"/>
      <family val="2"/>
      <charset val="238"/>
    </font>
    <font>
      <b/>
      <sz val="22"/>
      <color indexed="8"/>
      <name val="Arial"/>
      <family val="2"/>
      <charset val="238"/>
    </font>
    <font>
      <b/>
      <sz val="20"/>
      <color theme="1"/>
      <name val="Calibri"/>
      <family val="2"/>
      <charset val="238"/>
      <scheme val="minor"/>
    </font>
    <font>
      <b/>
      <sz val="24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5"/>
      <name val="Arial CE"/>
      <charset val="238"/>
    </font>
    <font>
      <b/>
      <sz val="14"/>
      <color theme="1"/>
      <name val="Calibri"/>
      <family val="2"/>
      <charset val="238"/>
      <scheme val="minor"/>
    </font>
    <font>
      <b/>
      <sz val="10"/>
      <name val="Arial CE"/>
      <charset val="238"/>
    </font>
    <font>
      <b/>
      <sz val="9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1"/>
      <name val="Arial"/>
      <family val="2"/>
      <charset val="238"/>
    </font>
    <font>
      <b/>
      <sz val="12"/>
      <name val="Arial CE"/>
      <charset val="238"/>
    </font>
    <font>
      <sz val="9"/>
      <name val="Arial"/>
      <family val="2"/>
      <charset val="238"/>
    </font>
    <font>
      <sz val="12"/>
      <name val="Arial CE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Arial CE"/>
      <charset val="238"/>
    </font>
    <font>
      <sz val="1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sz val="9"/>
      <color rgb="FFFF0000"/>
      <name val="Arial"/>
      <family val="2"/>
      <charset val="238"/>
    </font>
    <font>
      <b/>
      <sz val="12"/>
      <color rgb="FFFF0000"/>
      <name val="Arial CE"/>
      <charset val="238"/>
    </font>
    <font>
      <b/>
      <sz val="10"/>
      <color rgb="FFFF0000"/>
      <name val="Arial CE"/>
      <charset val="238"/>
    </font>
    <font>
      <sz val="12"/>
      <color rgb="FFFF0000"/>
      <name val="Arial CE"/>
      <charset val="238"/>
    </font>
    <font>
      <b/>
      <sz val="12"/>
      <color rgb="FFFF0000"/>
      <name val="Arial CE"/>
      <family val="2"/>
      <charset val="238"/>
    </font>
    <font>
      <sz val="10"/>
      <color rgb="FFFF0000"/>
      <name val="Arial CE"/>
      <charset val="238"/>
    </font>
    <font>
      <b/>
      <sz val="2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9"/>
      <color rgb="FF92D050"/>
      <name val="Arial"/>
      <family val="2"/>
      <charset val="238"/>
    </font>
    <font>
      <sz val="11"/>
      <color rgb="FF92D050"/>
      <name val="Calibri"/>
      <family val="2"/>
      <charset val="238"/>
      <scheme val="minor"/>
    </font>
    <font>
      <b/>
      <sz val="11"/>
      <color rgb="FF92D050"/>
      <name val="Calibri"/>
      <family val="2"/>
      <charset val="238"/>
      <scheme val="minor"/>
    </font>
    <font>
      <b/>
      <sz val="11"/>
      <color rgb="FF00B050"/>
      <name val="Arial"/>
      <family val="2"/>
      <charset val="238"/>
    </font>
    <font>
      <sz val="9"/>
      <color rgb="FF00B050"/>
      <name val="Arial"/>
      <family val="2"/>
      <charset val="238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0"/>
      <color rgb="FF00B050"/>
      <name val="Arial CE"/>
      <charset val="238"/>
    </font>
    <font>
      <b/>
      <sz val="9"/>
      <color rgb="FFFF0000"/>
      <name val="Arial CE"/>
      <charset val="238"/>
    </font>
    <font>
      <sz val="10"/>
      <color rgb="FFFF0000"/>
      <name val="Arial CE"/>
      <family val="2"/>
      <charset val="238"/>
    </font>
    <font>
      <sz val="11"/>
      <color rgb="FFFF0000"/>
      <name val="Arial"/>
      <family val="2"/>
      <charset val="238"/>
    </font>
    <font>
      <sz val="11"/>
      <color rgb="FF92D050"/>
      <name val="Arial"/>
      <family val="2"/>
      <charset val="238"/>
    </font>
    <font>
      <sz val="10"/>
      <color rgb="FF92D050"/>
      <name val="Arial CE"/>
      <charset val="238"/>
    </font>
    <font>
      <sz val="9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Alignment="1">
      <alignment horizontal="left" vertical="center"/>
    </xf>
    <xf numFmtId="49" fontId="1" fillId="3" borderId="0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0" fontId="0" fillId="3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15" fillId="0" borderId="9" xfId="0" applyFont="1" applyFill="1" applyBorder="1" applyAlignment="1">
      <alignment horizontal="left" vertical="center"/>
    </xf>
    <xf numFmtId="0" fontId="17" fillId="0" borderId="9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/>
    </xf>
    <xf numFmtId="49" fontId="16" fillId="0" borderId="9" xfId="0" applyNumberFormat="1" applyFont="1" applyFill="1" applyBorder="1" applyAlignment="1">
      <alignment horizontal="center" vertical="center"/>
    </xf>
    <xf numFmtId="164" fontId="10" fillId="0" borderId="9" xfId="0" applyNumberFormat="1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164" fontId="19" fillId="0" borderId="9" xfId="0" applyNumberFormat="1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49" fontId="20" fillId="0" borderId="9" xfId="0" applyNumberFormat="1" applyFont="1" applyFill="1" applyBorder="1" applyAlignment="1">
      <alignment horizontal="center"/>
    </xf>
    <xf numFmtId="49" fontId="19" fillId="0" borderId="9" xfId="0" applyNumberFormat="1" applyFont="1" applyFill="1" applyBorder="1" applyAlignment="1">
      <alignment horizontal="center" vertical="center"/>
    </xf>
    <xf numFmtId="49" fontId="14" fillId="0" borderId="9" xfId="0" applyNumberFormat="1" applyFont="1" applyFill="1" applyBorder="1" applyAlignment="1">
      <alignment horizontal="center" vertical="center"/>
    </xf>
    <xf numFmtId="164" fontId="12" fillId="0" borderId="9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/>
    </xf>
    <xf numFmtId="0" fontId="1" fillId="0" borderId="9" xfId="0" applyFont="1" applyBorder="1" applyAlignment="1">
      <alignment horizontal="left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20" fillId="0" borderId="9" xfId="0" applyFont="1" applyFill="1" applyBorder="1" applyAlignment="1">
      <alignment horizontal="center"/>
    </xf>
    <xf numFmtId="49" fontId="10" fillId="0" borderId="9" xfId="0" applyNumberFormat="1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left" vertical="center"/>
    </xf>
    <xf numFmtId="2" fontId="10" fillId="0" borderId="9" xfId="0" applyNumberFormat="1" applyFont="1" applyFill="1" applyBorder="1" applyAlignment="1">
      <alignment horizontal="center" vertical="center"/>
    </xf>
    <xf numFmtId="164" fontId="19" fillId="0" borderId="9" xfId="0" applyNumberFormat="1" applyFont="1" applyFill="1" applyBorder="1" applyAlignment="1">
      <alignment horizontal="center"/>
    </xf>
    <xf numFmtId="49" fontId="19" fillId="0" borderId="9" xfId="0" applyNumberFormat="1" applyFont="1" applyFill="1" applyBorder="1" applyAlignment="1">
      <alignment horizontal="center"/>
    </xf>
    <xf numFmtId="2" fontId="19" fillId="0" borderId="9" xfId="0" applyNumberFormat="1" applyFont="1" applyFill="1" applyBorder="1" applyAlignment="1">
      <alignment horizontal="center" vertical="center"/>
    </xf>
    <xf numFmtId="2" fontId="13" fillId="0" borderId="9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left" vertical="center"/>
    </xf>
    <xf numFmtId="0" fontId="20" fillId="0" borderId="9" xfId="0" applyFont="1" applyFill="1" applyBorder="1" applyAlignment="1">
      <alignment horizontal="center" vertical="center"/>
    </xf>
    <xf numFmtId="49" fontId="20" fillId="0" borderId="9" xfId="0" applyNumberFormat="1" applyFont="1" applyFill="1" applyBorder="1" applyAlignment="1">
      <alignment horizontal="center" vertical="center"/>
    </xf>
    <xf numFmtId="0" fontId="22" fillId="0" borderId="9" xfId="0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left" vertical="center"/>
    </xf>
    <xf numFmtId="0" fontId="17" fillId="4" borderId="9" xfId="0" applyFont="1" applyFill="1" applyBorder="1" applyAlignment="1">
      <alignment horizontal="center" vertical="center"/>
    </xf>
    <xf numFmtId="164" fontId="19" fillId="4" borderId="9" xfId="0" applyNumberFormat="1" applyFont="1" applyFill="1" applyBorder="1" applyAlignment="1">
      <alignment horizontal="center" vertical="center"/>
    </xf>
    <xf numFmtId="49" fontId="11" fillId="4" borderId="9" xfId="0" applyNumberFormat="1" applyFont="1" applyFill="1" applyBorder="1" applyAlignment="1">
      <alignment horizontal="center" vertical="center"/>
    </xf>
    <xf numFmtId="49" fontId="12" fillId="4" borderId="9" xfId="0" applyNumberFormat="1" applyFont="1" applyFill="1" applyBorder="1" applyAlignment="1">
      <alignment horizontal="center" vertical="center"/>
    </xf>
    <xf numFmtId="0" fontId="19" fillId="4" borderId="9" xfId="0" applyFont="1" applyFill="1" applyBorder="1" applyAlignment="1">
      <alignment horizontal="center" vertical="center"/>
    </xf>
    <xf numFmtId="49" fontId="20" fillId="4" borderId="9" xfId="0" applyNumberFormat="1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24" fillId="0" borderId="9" xfId="0" applyFont="1" applyFill="1" applyBorder="1" applyAlignment="1">
      <alignment horizontal="left" vertical="center"/>
    </xf>
    <xf numFmtId="0" fontId="25" fillId="0" borderId="9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/>
    </xf>
    <xf numFmtId="49" fontId="26" fillId="0" borderId="9" xfId="0" applyNumberFormat="1" applyFont="1" applyFill="1" applyBorder="1" applyAlignment="1">
      <alignment horizontal="center" vertical="center"/>
    </xf>
    <xf numFmtId="164" fontId="27" fillId="0" borderId="9" xfId="0" applyNumberFormat="1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164" fontId="23" fillId="0" borderId="9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/>
    </xf>
    <xf numFmtId="49" fontId="29" fillId="0" borderId="9" xfId="0" applyNumberFormat="1" applyFont="1" applyFill="1" applyBorder="1" applyAlignment="1">
      <alignment horizontal="center" vertical="center"/>
    </xf>
    <xf numFmtId="164" fontId="30" fillId="0" borderId="9" xfId="0" applyNumberFormat="1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center" vertical="center"/>
    </xf>
    <xf numFmtId="0" fontId="31" fillId="0" borderId="9" xfId="0" applyFont="1" applyFill="1" applyBorder="1" applyAlignment="1">
      <alignment horizontal="center" vertical="center"/>
    </xf>
    <xf numFmtId="49" fontId="32" fillId="0" borderId="9" xfId="0" applyNumberFormat="1" applyFont="1" applyFill="1" applyBorder="1" applyAlignment="1">
      <alignment horizontal="center"/>
    </xf>
    <xf numFmtId="2" fontId="30" fillId="0" borderId="9" xfId="0" applyNumberFormat="1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/>
    </xf>
    <xf numFmtId="0" fontId="33" fillId="0" borderId="9" xfId="0" applyFont="1" applyFill="1" applyBorder="1" applyAlignment="1">
      <alignment horizontal="center" vertical="center"/>
    </xf>
    <xf numFmtId="0" fontId="36" fillId="0" borderId="9" xfId="0" applyFont="1" applyFill="1" applyBorder="1" applyAlignment="1">
      <alignment horizontal="left" vertical="center"/>
    </xf>
    <xf numFmtId="0" fontId="37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/>
    </xf>
    <xf numFmtId="49" fontId="39" fillId="0" borderId="9" xfId="0" applyNumberFormat="1" applyFont="1" applyFill="1" applyBorder="1" applyAlignment="1">
      <alignment horizontal="center"/>
    </xf>
    <xf numFmtId="164" fontId="40" fillId="0" borderId="9" xfId="0" applyNumberFormat="1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left" vertical="center"/>
    </xf>
    <xf numFmtId="0" fontId="19" fillId="4" borderId="9" xfId="0" applyFont="1" applyFill="1" applyBorder="1" applyAlignment="1">
      <alignment horizontal="center"/>
    </xf>
    <xf numFmtId="49" fontId="20" fillId="4" borderId="9" xfId="0" applyNumberFormat="1" applyFont="1" applyFill="1" applyBorder="1" applyAlignment="1">
      <alignment horizontal="center"/>
    </xf>
    <xf numFmtId="49" fontId="19" fillId="4" borderId="9" xfId="0" applyNumberFormat="1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left" vertical="center"/>
    </xf>
    <xf numFmtId="0" fontId="0" fillId="4" borderId="9" xfId="0" applyFill="1" applyBorder="1" applyAlignment="1">
      <alignment horizontal="center" vertical="center"/>
    </xf>
    <xf numFmtId="0" fontId="0" fillId="4" borderId="9" xfId="0" applyFill="1" applyBorder="1" applyAlignment="1">
      <alignment horizontal="center"/>
    </xf>
    <xf numFmtId="49" fontId="1" fillId="4" borderId="9" xfId="0" applyNumberFormat="1" applyFont="1" applyFill="1" applyBorder="1" applyAlignment="1">
      <alignment horizontal="center"/>
    </xf>
    <xf numFmtId="164" fontId="23" fillId="0" borderId="9" xfId="0" applyNumberFormat="1" applyFont="1" applyFill="1" applyBorder="1" applyAlignment="1">
      <alignment horizontal="center"/>
    </xf>
    <xf numFmtId="2" fontId="27" fillId="0" borderId="9" xfId="0" applyNumberFormat="1" applyFont="1" applyFill="1" applyBorder="1" applyAlignment="1">
      <alignment horizontal="center" vertical="center"/>
    </xf>
    <xf numFmtId="49" fontId="23" fillId="0" borderId="9" xfId="0" applyNumberFormat="1" applyFont="1" applyFill="1" applyBorder="1" applyAlignment="1">
      <alignment horizontal="center"/>
    </xf>
    <xf numFmtId="2" fontId="23" fillId="0" borderId="9" xfId="0" applyNumberFormat="1" applyFont="1" applyFill="1" applyBorder="1" applyAlignment="1">
      <alignment horizontal="center" vertical="center"/>
    </xf>
    <xf numFmtId="1" fontId="23" fillId="0" borderId="9" xfId="0" applyNumberFormat="1" applyFont="1" applyFill="1" applyBorder="1" applyAlignment="1">
      <alignment horizontal="center"/>
    </xf>
    <xf numFmtId="164" fontId="38" fillId="0" borderId="9" xfId="0" applyNumberFormat="1" applyFont="1" applyFill="1" applyBorder="1" applyAlignment="1">
      <alignment horizontal="center"/>
    </xf>
    <xf numFmtId="2" fontId="40" fillId="0" borderId="9" xfId="0" applyNumberFormat="1" applyFont="1" applyFill="1" applyBorder="1" applyAlignment="1">
      <alignment horizontal="center" vertical="center"/>
    </xf>
    <xf numFmtId="49" fontId="38" fillId="0" borderId="9" xfId="0" applyNumberFormat="1" applyFont="1" applyFill="1" applyBorder="1" applyAlignment="1">
      <alignment horizontal="center"/>
    </xf>
    <xf numFmtId="0" fontId="30" fillId="0" borderId="9" xfId="0" applyFont="1" applyFill="1" applyBorder="1" applyAlignment="1">
      <alignment horizontal="left" vertical="center"/>
    </xf>
    <xf numFmtId="0" fontId="23" fillId="0" borderId="9" xfId="0" applyFont="1" applyFill="1" applyBorder="1" applyAlignment="1">
      <alignment horizontal="center" vertical="center"/>
    </xf>
    <xf numFmtId="49" fontId="41" fillId="0" borderId="9" xfId="0" applyNumberFormat="1" applyFont="1" applyFill="1" applyBorder="1" applyAlignment="1">
      <alignment horizontal="center" vertical="center"/>
    </xf>
    <xf numFmtId="49" fontId="42" fillId="0" borderId="9" xfId="0" applyNumberFormat="1" applyFont="1" applyFill="1" applyBorder="1" applyAlignment="1">
      <alignment horizontal="center" vertical="center"/>
    </xf>
    <xf numFmtId="0" fontId="43" fillId="0" borderId="9" xfId="0" applyFont="1" applyFill="1" applyBorder="1" applyAlignment="1">
      <alignment horizontal="left" vertical="center"/>
    </xf>
    <xf numFmtId="49" fontId="30" fillId="0" borderId="9" xfId="0" applyNumberFormat="1" applyFont="1" applyFill="1" applyBorder="1" applyAlignment="1">
      <alignment horizontal="center" vertical="center"/>
    </xf>
    <xf numFmtId="0" fontId="30" fillId="0" borderId="9" xfId="0" applyFont="1" applyFill="1" applyBorder="1" applyAlignment="1">
      <alignment horizontal="center" vertical="center"/>
    </xf>
    <xf numFmtId="49" fontId="32" fillId="0" borderId="9" xfId="0" applyNumberFormat="1" applyFont="1" applyFill="1" applyBorder="1" applyAlignment="1">
      <alignment horizontal="center" vertical="center"/>
    </xf>
    <xf numFmtId="0" fontId="32" fillId="0" borderId="9" xfId="0" applyFont="1" applyFill="1" applyBorder="1" applyAlignment="1">
      <alignment horizontal="center" vertical="center"/>
    </xf>
    <xf numFmtId="49" fontId="23" fillId="0" borderId="9" xfId="0" applyNumberFormat="1" applyFont="1" applyFill="1" applyBorder="1" applyAlignment="1">
      <alignment horizontal="center" vertical="center"/>
    </xf>
    <xf numFmtId="0" fontId="44" fillId="0" borderId="9" xfId="0" applyFont="1" applyFill="1" applyBorder="1" applyAlignment="1">
      <alignment horizontal="left" vertical="center"/>
    </xf>
    <xf numFmtId="0" fontId="45" fillId="0" borderId="9" xfId="0" applyFont="1" applyFill="1" applyBorder="1" applyAlignment="1">
      <alignment horizontal="center" vertical="center"/>
    </xf>
    <xf numFmtId="0" fontId="34" fillId="0" borderId="9" xfId="0" applyFont="1" applyFill="1" applyBorder="1" applyAlignment="1">
      <alignment horizontal="center" vertical="center"/>
    </xf>
    <xf numFmtId="0" fontId="35" fillId="0" borderId="9" xfId="0" applyFont="1" applyFill="1" applyBorder="1" applyAlignment="1">
      <alignment horizontal="center" vertical="center"/>
    </xf>
    <xf numFmtId="0" fontId="0" fillId="0" borderId="0" xfId="0" applyBorder="1"/>
    <xf numFmtId="0" fontId="22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49" fontId="18" fillId="0" borderId="9" xfId="0" applyNumberFormat="1" applyFont="1" applyFill="1" applyBorder="1" applyAlignment="1">
      <alignment horizontal="center" vertical="center"/>
    </xf>
    <xf numFmtId="49" fontId="34" fillId="0" borderId="9" xfId="0" applyNumberFormat="1" applyFont="1" applyFill="1" applyBorder="1" applyAlignment="1">
      <alignment horizontal="center" vertical="center"/>
    </xf>
    <xf numFmtId="49" fontId="46" fillId="0" borderId="9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3</xdr:row>
      <xdr:rowOff>66675</xdr:rowOff>
    </xdr:from>
    <xdr:to>
      <xdr:col>5</xdr:col>
      <xdr:colOff>600075</xdr:colOff>
      <xdr:row>6</xdr:row>
      <xdr:rowOff>209550</xdr:rowOff>
    </xdr:to>
    <xdr:pic>
      <xdr:nvPicPr>
        <xdr:cNvPr id="4" name="Obrázek 5" descr="SOKOL5_V6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86125" y="1114425"/>
          <a:ext cx="1181100" cy="1000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</xdr:row>
      <xdr:rowOff>66675</xdr:rowOff>
    </xdr:from>
    <xdr:to>
      <xdr:col>0</xdr:col>
      <xdr:colOff>1114425</xdr:colOff>
      <xdr:row>7</xdr:row>
      <xdr:rowOff>19050</xdr:rowOff>
    </xdr:to>
    <xdr:pic>
      <xdr:nvPicPr>
        <xdr:cNvPr id="5" name="Obrázek 3" descr="logo Sokol 11-2007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114425"/>
          <a:ext cx="1114425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M111"/>
  <sheetViews>
    <sheetView tabSelected="1" topLeftCell="A2" zoomScale="70" zoomScaleNormal="70" zoomScaleSheetLayoutView="115" workbookViewId="0">
      <selection activeCell="G16" sqref="G16"/>
    </sheetView>
  </sheetViews>
  <sheetFormatPr defaultRowHeight="15"/>
  <cols>
    <col min="1" max="1" width="21.42578125" style="2" bestFit="1" customWidth="1"/>
    <col min="2" max="2" width="9.140625" style="13"/>
    <col min="3" max="3" width="9.140625" style="1"/>
    <col min="4" max="4" width="9.140625" style="10"/>
    <col min="5" max="5" width="9.140625" style="13"/>
    <col min="6" max="6" width="9.140625" style="1"/>
    <col min="11" max="11" width="18.5703125" bestFit="1" customWidth="1"/>
  </cols>
  <sheetData>
    <row r="1" spans="1:8" ht="19.5">
      <c r="A1" s="58" t="s">
        <v>47</v>
      </c>
      <c r="B1" s="59"/>
      <c r="C1" s="59"/>
      <c r="D1" s="59"/>
      <c r="E1" s="59"/>
      <c r="F1" s="60"/>
      <c r="G1" s="7"/>
      <c r="H1" s="7"/>
    </row>
    <row r="2" spans="1:8" ht="25.5" customHeight="1">
      <c r="A2" s="61" t="s">
        <v>48</v>
      </c>
      <c r="B2" s="62"/>
      <c r="C2" s="62"/>
      <c r="D2" s="62"/>
      <c r="E2" s="62"/>
      <c r="F2" s="63"/>
      <c r="G2" s="5"/>
      <c r="H2" s="5"/>
    </row>
    <row r="3" spans="1:8" ht="21.75" customHeight="1" thickBot="1">
      <c r="A3" s="64" t="s">
        <v>137</v>
      </c>
      <c r="B3" s="65"/>
      <c r="C3" s="65"/>
      <c r="D3" s="65"/>
      <c r="E3" s="65"/>
      <c r="F3" s="66"/>
    </row>
    <row r="4" spans="1:8" ht="28.5" customHeight="1">
      <c r="A4" s="57"/>
      <c r="B4" s="57"/>
      <c r="C4" s="57"/>
      <c r="D4" s="57"/>
      <c r="E4" s="57"/>
      <c r="F4" s="57"/>
      <c r="G4" s="57"/>
      <c r="H4" s="57"/>
    </row>
    <row r="5" spans="1:8" ht="19.5">
      <c r="A5" s="5"/>
      <c r="B5" s="57">
        <v>2014</v>
      </c>
      <c r="C5" s="57"/>
      <c r="D5" s="57"/>
      <c r="E5" s="6"/>
      <c r="F5" s="6"/>
      <c r="G5" s="6"/>
      <c r="H5" s="6"/>
    </row>
    <row r="6" spans="1:8" ht="19.5">
      <c r="A6" s="5"/>
      <c r="B6" s="57"/>
      <c r="C6" s="57"/>
      <c r="D6" s="57"/>
      <c r="E6" s="6"/>
      <c r="F6" s="6"/>
      <c r="G6" s="6"/>
      <c r="H6" s="6"/>
    </row>
    <row r="7" spans="1:8" ht="19.5">
      <c r="A7" s="5"/>
      <c r="B7" s="6"/>
      <c r="C7" s="5"/>
      <c r="D7" s="8"/>
      <c r="E7" s="6"/>
      <c r="F7" s="5"/>
      <c r="G7" s="5"/>
      <c r="H7" s="5"/>
    </row>
    <row r="9" spans="1:8" ht="30">
      <c r="A9" s="67" t="s">
        <v>49</v>
      </c>
      <c r="B9" s="67"/>
      <c r="C9" s="67"/>
      <c r="D9" s="67"/>
      <c r="E9" s="67"/>
      <c r="F9" s="67"/>
    </row>
    <row r="10" spans="1:8">
      <c r="A10" s="44" t="s">
        <v>43</v>
      </c>
      <c r="B10" s="45" t="s">
        <v>40</v>
      </c>
      <c r="C10" s="45" t="s">
        <v>42</v>
      </c>
      <c r="D10" s="46" t="s">
        <v>41</v>
      </c>
      <c r="E10" s="45" t="s">
        <v>38</v>
      </c>
      <c r="F10" s="45" t="s">
        <v>41</v>
      </c>
    </row>
    <row r="11" spans="1:8">
      <c r="A11" s="108" t="s">
        <v>62</v>
      </c>
      <c r="B11" s="109">
        <v>2007</v>
      </c>
      <c r="C11" s="77">
        <v>28</v>
      </c>
      <c r="D11" s="110">
        <v>1</v>
      </c>
      <c r="E11" s="111" t="s">
        <v>39</v>
      </c>
      <c r="F11" s="109" t="s">
        <v>111</v>
      </c>
    </row>
    <row r="12" spans="1:8">
      <c r="A12" s="112" t="s">
        <v>56</v>
      </c>
      <c r="B12" s="72">
        <v>2007</v>
      </c>
      <c r="C12" s="77">
        <v>27</v>
      </c>
      <c r="D12" s="110">
        <v>2</v>
      </c>
      <c r="E12" s="113" t="s">
        <v>63</v>
      </c>
      <c r="F12" s="109">
        <v>4</v>
      </c>
    </row>
    <row r="13" spans="1:8">
      <c r="A13" s="112" t="s">
        <v>10</v>
      </c>
      <c r="B13" s="72">
        <v>2005</v>
      </c>
      <c r="C13" s="114">
        <v>26.5</v>
      </c>
      <c r="D13" s="115">
        <v>3</v>
      </c>
      <c r="E13" s="114">
        <v>19</v>
      </c>
      <c r="F13" s="109">
        <v>6</v>
      </c>
    </row>
    <row r="14" spans="1:8">
      <c r="A14" s="112" t="s">
        <v>0</v>
      </c>
      <c r="B14" s="72">
        <v>2006</v>
      </c>
      <c r="C14" s="77">
        <v>25.5</v>
      </c>
      <c r="D14" s="117">
        <v>4</v>
      </c>
      <c r="E14" s="77">
        <v>9</v>
      </c>
      <c r="F14" s="116">
        <v>1</v>
      </c>
    </row>
    <row r="15" spans="1:8">
      <c r="A15" s="112" t="s">
        <v>2</v>
      </c>
      <c r="B15" s="72">
        <v>2006</v>
      </c>
      <c r="C15" s="77">
        <v>23</v>
      </c>
      <c r="D15" s="117" t="s">
        <v>130</v>
      </c>
      <c r="E15" s="117" t="s">
        <v>69</v>
      </c>
      <c r="F15" s="116">
        <v>3</v>
      </c>
    </row>
    <row r="16" spans="1:8">
      <c r="A16" s="112" t="s">
        <v>1</v>
      </c>
      <c r="B16" s="72">
        <v>2006</v>
      </c>
      <c r="C16" s="77">
        <v>23</v>
      </c>
      <c r="D16" s="117" t="s">
        <v>131</v>
      </c>
      <c r="E16" s="117" t="s">
        <v>68</v>
      </c>
      <c r="F16" s="109">
        <v>10</v>
      </c>
    </row>
    <row r="17" spans="1:6">
      <c r="A17" s="112" t="s">
        <v>8</v>
      </c>
      <c r="B17" s="72">
        <v>2005</v>
      </c>
      <c r="C17" s="114">
        <v>21.5</v>
      </c>
      <c r="D17" s="117" t="s">
        <v>101</v>
      </c>
      <c r="E17" s="109">
        <v>19.8</v>
      </c>
      <c r="F17" s="109">
        <v>7</v>
      </c>
    </row>
    <row r="18" spans="1:6">
      <c r="A18" s="118" t="s">
        <v>7</v>
      </c>
      <c r="B18" s="86">
        <v>2005</v>
      </c>
      <c r="C18" s="119">
        <v>21</v>
      </c>
      <c r="D18" s="127" t="s">
        <v>114</v>
      </c>
      <c r="E18" s="120">
        <v>10.5</v>
      </c>
      <c r="F18" s="121">
        <v>2</v>
      </c>
    </row>
    <row r="19" spans="1:6">
      <c r="A19" s="118" t="s">
        <v>72</v>
      </c>
      <c r="B19" s="86">
        <v>2005</v>
      </c>
      <c r="C19" s="119">
        <v>21</v>
      </c>
      <c r="D19" s="127" t="s">
        <v>132</v>
      </c>
      <c r="E19" s="119">
        <v>32.299999999999997</v>
      </c>
      <c r="F19" s="120">
        <v>11</v>
      </c>
    </row>
    <row r="20" spans="1:6">
      <c r="A20" s="47" t="s">
        <v>4</v>
      </c>
      <c r="B20" s="17">
        <v>2006</v>
      </c>
      <c r="C20" s="22">
        <v>20</v>
      </c>
      <c r="D20" s="27" t="s">
        <v>102</v>
      </c>
      <c r="E20" s="27" t="s">
        <v>70</v>
      </c>
      <c r="F20" s="25">
        <v>9</v>
      </c>
    </row>
    <row r="21" spans="1:6">
      <c r="A21" s="47" t="s">
        <v>54</v>
      </c>
      <c r="B21" s="17">
        <v>2007</v>
      </c>
      <c r="C21" s="22">
        <v>19</v>
      </c>
      <c r="D21" s="128" t="s">
        <v>103</v>
      </c>
      <c r="E21" s="43" t="s">
        <v>39</v>
      </c>
      <c r="F21" s="25" t="s">
        <v>111</v>
      </c>
    </row>
    <row r="22" spans="1:6">
      <c r="A22" s="47" t="s">
        <v>57</v>
      </c>
      <c r="B22" s="17">
        <v>2008</v>
      </c>
      <c r="C22" s="22">
        <v>18</v>
      </c>
      <c r="D22" s="128" t="s">
        <v>104</v>
      </c>
      <c r="E22" s="43"/>
      <c r="F22" s="25"/>
    </row>
    <row r="23" spans="1:6">
      <c r="A23" s="47" t="s">
        <v>58</v>
      </c>
      <c r="B23" s="17">
        <v>2008</v>
      </c>
      <c r="C23" s="22">
        <v>18</v>
      </c>
      <c r="D23" s="128" t="s">
        <v>104</v>
      </c>
      <c r="E23" s="43"/>
      <c r="F23" s="25"/>
    </row>
    <row r="24" spans="1:6">
      <c r="A24" s="47" t="s">
        <v>59</v>
      </c>
      <c r="B24" s="17">
        <v>2007</v>
      </c>
      <c r="C24" s="22">
        <v>17</v>
      </c>
      <c r="D24" s="128" t="s">
        <v>105</v>
      </c>
      <c r="E24" s="43"/>
      <c r="F24" s="25"/>
    </row>
    <row r="25" spans="1:6">
      <c r="A25" s="47" t="s">
        <v>60</v>
      </c>
      <c r="B25" s="17">
        <v>2007</v>
      </c>
      <c r="C25" s="22">
        <v>17</v>
      </c>
      <c r="D25" s="128" t="s">
        <v>105</v>
      </c>
      <c r="E25" s="43"/>
      <c r="F25" s="25"/>
    </row>
    <row r="26" spans="1:6">
      <c r="A26" s="47" t="s">
        <v>11</v>
      </c>
      <c r="B26" s="17">
        <v>2005</v>
      </c>
      <c r="C26" s="48">
        <v>16</v>
      </c>
      <c r="D26" s="27" t="s">
        <v>106</v>
      </c>
      <c r="E26" s="48">
        <v>16.600000000000001</v>
      </c>
      <c r="F26" s="25">
        <v>5</v>
      </c>
    </row>
    <row r="27" spans="1:6">
      <c r="A27" s="47" t="s">
        <v>3</v>
      </c>
      <c r="B27" s="17">
        <v>2006</v>
      </c>
      <c r="C27" s="22">
        <v>16</v>
      </c>
      <c r="D27" s="27" t="s">
        <v>119</v>
      </c>
      <c r="E27" s="27" t="s">
        <v>39</v>
      </c>
      <c r="F27" s="25" t="s">
        <v>111</v>
      </c>
    </row>
    <row r="28" spans="1:6">
      <c r="A28" s="47" t="s">
        <v>67</v>
      </c>
      <c r="B28" s="17">
        <v>2006</v>
      </c>
      <c r="C28" s="25">
        <v>16</v>
      </c>
      <c r="D28" s="27" t="s">
        <v>120</v>
      </c>
      <c r="E28" s="25"/>
      <c r="F28" s="25"/>
    </row>
    <row r="29" spans="1:6">
      <c r="A29" s="47" t="s">
        <v>66</v>
      </c>
      <c r="B29" s="17">
        <v>2006</v>
      </c>
      <c r="C29" s="25">
        <v>14</v>
      </c>
      <c r="D29" s="27" t="s">
        <v>107</v>
      </c>
      <c r="E29" s="25"/>
      <c r="F29" s="25"/>
    </row>
    <row r="30" spans="1:6">
      <c r="A30" s="47" t="s">
        <v>5</v>
      </c>
      <c r="B30" s="17">
        <v>2006</v>
      </c>
      <c r="C30" s="22">
        <v>10.5</v>
      </c>
      <c r="D30" s="27" t="s">
        <v>108</v>
      </c>
      <c r="E30" s="27" t="s">
        <v>71</v>
      </c>
      <c r="F30" s="25">
        <v>12</v>
      </c>
    </row>
    <row r="31" spans="1:6">
      <c r="A31" s="47" t="s">
        <v>6</v>
      </c>
      <c r="B31" s="17">
        <v>2007</v>
      </c>
      <c r="C31" s="22">
        <v>10</v>
      </c>
      <c r="D31" s="128" t="s">
        <v>89</v>
      </c>
      <c r="E31" s="43"/>
      <c r="F31" s="25"/>
    </row>
    <row r="32" spans="1:6">
      <c r="A32" s="47" t="s">
        <v>75</v>
      </c>
      <c r="B32" s="17">
        <v>2005</v>
      </c>
      <c r="C32" s="48">
        <v>4</v>
      </c>
      <c r="D32" s="27" t="s">
        <v>109</v>
      </c>
      <c r="E32" s="25"/>
      <c r="F32" s="25"/>
    </row>
    <row r="33" spans="1:13">
      <c r="A33" s="47" t="s">
        <v>9</v>
      </c>
      <c r="B33" s="17">
        <v>2005</v>
      </c>
      <c r="C33" s="48">
        <v>2</v>
      </c>
      <c r="D33" s="27" t="s">
        <v>110</v>
      </c>
      <c r="E33" s="48">
        <v>24</v>
      </c>
      <c r="F33" s="25">
        <v>8</v>
      </c>
    </row>
    <row r="34" spans="1:13">
      <c r="A34" s="49" t="s">
        <v>53</v>
      </c>
      <c r="B34" s="50">
        <v>2007</v>
      </c>
      <c r="C34" s="51"/>
      <c r="D34" s="52"/>
      <c r="E34" s="53"/>
      <c r="F34" s="54"/>
    </row>
    <row r="35" spans="1:13">
      <c r="A35" s="49" t="s">
        <v>55</v>
      </c>
      <c r="B35" s="50">
        <v>2007</v>
      </c>
      <c r="C35" s="51"/>
      <c r="D35" s="52"/>
      <c r="E35" s="53"/>
      <c r="F35" s="54"/>
    </row>
    <row r="36" spans="1:13">
      <c r="A36" s="49" t="s">
        <v>61</v>
      </c>
      <c r="B36" s="50">
        <v>2007</v>
      </c>
      <c r="C36" s="51"/>
      <c r="D36" s="52"/>
      <c r="E36" s="53"/>
      <c r="F36" s="54"/>
    </row>
    <row r="37" spans="1:13">
      <c r="A37" s="49" t="s">
        <v>37</v>
      </c>
      <c r="B37" s="50">
        <v>2006</v>
      </c>
      <c r="C37" s="51"/>
      <c r="D37" s="55"/>
      <c r="E37" s="54"/>
      <c r="F37" s="54"/>
    </row>
    <row r="38" spans="1:13">
      <c r="A38" s="49" t="s">
        <v>64</v>
      </c>
      <c r="B38" s="50">
        <v>2006</v>
      </c>
      <c r="C38" s="54"/>
      <c r="D38" s="55"/>
      <c r="E38" s="54"/>
      <c r="F38" s="54"/>
    </row>
    <row r="39" spans="1:13">
      <c r="A39" s="49" t="s">
        <v>65</v>
      </c>
      <c r="B39" s="50">
        <v>2006</v>
      </c>
      <c r="C39" s="54"/>
      <c r="D39" s="55"/>
      <c r="E39" s="54"/>
      <c r="F39" s="54"/>
    </row>
    <row r="40" spans="1:13">
      <c r="A40" s="49" t="s">
        <v>73</v>
      </c>
      <c r="B40" s="50">
        <v>2005</v>
      </c>
      <c r="C40" s="56"/>
      <c r="D40" s="55"/>
      <c r="E40" s="54"/>
      <c r="F40" s="54"/>
    </row>
    <row r="41" spans="1:13">
      <c r="A41" s="49" t="s">
        <v>74</v>
      </c>
      <c r="B41" s="50">
        <v>2005</v>
      </c>
      <c r="C41" s="56"/>
      <c r="D41" s="55"/>
      <c r="E41" s="54"/>
      <c r="F41" s="54"/>
    </row>
    <row r="42" spans="1:13">
      <c r="A42" s="47"/>
      <c r="B42" s="25"/>
      <c r="C42" s="25"/>
      <c r="D42" s="46"/>
      <c r="E42" s="25"/>
      <c r="F42" s="25"/>
    </row>
    <row r="43" spans="1:13">
      <c r="A43" s="2" t="s">
        <v>44</v>
      </c>
      <c r="C43"/>
      <c r="D43" s="9"/>
      <c r="E43" s="12"/>
      <c r="F43" s="4"/>
    </row>
    <row r="44" spans="1:13">
      <c r="A44" s="2" t="s">
        <v>123</v>
      </c>
      <c r="C44"/>
      <c r="D44" s="9"/>
      <c r="E44" s="12"/>
      <c r="F44" s="4"/>
    </row>
    <row r="45" spans="1:13">
      <c r="A45" s="2" t="s">
        <v>124</v>
      </c>
      <c r="C45"/>
      <c r="D45" s="9"/>
      <c r="E45" s="12"/>
      <c r="F45" s="4"/>
      <c r="M45" s="122"/>
    </row>
    <row r="46" spans="1:13">
      <c r="A46" s="2" t="s">
        <v>125</v>
      </c>
      <c r="B46" s="12"/>
      <c r="C46" s="4"/>
      <c r="D46" s="9"/>
      <c r="E46" s="12"/>
      <c r="F46" s="4"/>
      <c r="M46" s="123"/>
    </row>
    <row r="47" spans="1:13">
      <c r="A47" s="15" t="s">
        <v>133</v>
      </c>
      <c r="B47" s="12"/>
      <c r="C47" s="4"/>
      <c r="D47" s="9"/>
      <c r="E47" s="12"/>
      <c r="F47" s="4"/>
      <c r="M47" s="123"/>
    </row>
    <row r="48" spans="1:13">
      <c r="B48" s="14"/>
      <c r="E48" s="13" t="s">
        <v>45</v>
      </c>
      <c r="M48" s="123"/>
    </row>
    <row r="49" spans="1:13" ht="27.75">
      <c r="A49" s="68" t="s">
        <v>50</v>
      </c>
      <c r="B49" s="68"/>
      <c r="C49" s="68"/>
      <c r="D49" s="68"/>
      <c r="E49" s="68"/>
      <c r="F49" s="68"/>
      <c r="M49" s="123"/>
    </row>
    <row r="50" spans="1:13">
      <c r="A50" s="32" t="s">
        <v>43</v>
      </c>
      <c r="B50" s="33" t="s">
        <v>40</v>
      </c>
      <c r="C50" s="34" t="s">
        <v>42</v>
      </c>
      <c r="D50" s="31" t="s">
        <v>41</v>
      </c>
      <c r="E50" s="33" t="s">
        <v>38</v>
      </c>
      <c r="F50" s="34" t="s">
        <v>41</v>
      </c>
      <c r="M50" s="123"/>
    </row>
    <row r="51" spans="1:13">
      <c r="A51" s="71" t="s">
        <v>12</v>
      </c>
      <c r="B51" s="72">
        <v>2004</v>
      </c>
      <c r="C51" s="100">
        <v>29</v>
      </c>
      <c r="D51" s="83" t="s">
        <v>112</v>
      </c>
      <c r="E51" s="101" t="s">
        <v>84</v>
      </c>
      <c r="F51" s="73">
        <v>5</v>
      </c>
      <c r="M51" s="123"/>
    </row>
    <row r="52" spans="1:13">
      <c r="A52" s="71" t="s">
        <v>22</v>
      </c>
      <c r="B52" s="72">
        <v>2003</v>
      </c>
      <c r="C52" s="100">
        <v>26</v>
      </c>
      <c r="D52" s="83" t="s">
        <v>121</v>
      </c>
      <c r="E52" s="103">
        <v>9.4</v>
      </c>
      <c r="F52" s="104">
        <v>9</v>
      </c>
      <c r="M52" s="123"/>
    </row>
    <row r="53" spans="1:13">
      <c r="A53" s="71" t="s">
        <v>13</v>
      </c>
      <c r="B53" s="72">
        <v>2004</v>
      </c>
      <c r="C53" s="100">
        <v>26</v>
      </c>
      <c r="D53" s="83" t="s">
        <v>122</v>
      </c>
      <c r="E53" s="101" t="s">
        <v>85</v>
      </c>
      <c r="F53" s="102" t="s">
        <v>115</v>
      </c>
      <c r="M53" s="122"/>
    </row>
    <row r="54" spans="1:13">
      <c r="A54" s="71" t="s">
        <v>19</v>
      </c>
      <c r="B54" s="72">
        <v>2003</v>
      </c>
      <c r="C54" s="100">
        <v>25.5</v>
      </c>
      <c r="D54" s="102" t="s">
        <v>113</v>
      </c>
      <c r="E54" s="103">
        <v>6.5</v>
      </c>
      <c r="F54" s="85">
        <v>2</v>
      </c>
      <c r="M54" s="122"/>
    </row>
    <row r="55" spans="1:13">
      <c r="A55" s="71" t="s">
        <v>76</v>
      </c>
      <c r="B55" s="72">
        <v>2004</v>
      </c>
      <c r="C55" s="100">
        <v>25</v>
      </c>
      <c r="D55" s="102" t="s">
        <v>130</v>
      </c>
      <c r="E55" s="103">
        <v>5.2</v>
      </c>
      <c r="F55" s="85">
        <v>1</v>
      </c>
      <c r="M55" s="122"/>
    </row>
    <row r="56" spans="1:13">
      <c r="A56" s="71" t="s">
        <v>15</v>
      </c>
      <c r="B56" s="72">
        <v>2004</v>
      </c>
      <c r="C56" s="100">
        <v>25</v>
      </c>
      <c r="D56" s="102" t="s">
        <v>131</v>
      </c>
      <c r="E56" s="101" t="s">
        <v>87</v>
      </c>
      <c r="F56" s="85">
        <v>3</v>
      </c>
      <c r="M56" s="122"/>
    </row>
    <row r="57" spans="1:13">
      <c r="A57" s="71" t="s">
        <v>93</v>
      </c>
      <c r="B57" s="72">
        <v>2003</v>
      </c>
      <c r="C57" s="100">
        <v>25</v>
      </c>
      <c r="D57" s="102" t="s">
        <v>101</v>
      </c>
      <c r="E57" s="103">
        <v>8</v>
      </c>
      <c r="F57" s="73">
        <v>6</v>
      </c>
    </row>
    <row r="58" spans="1:13">
      <c r="A58" s="87" t="s">
        <v>80</v>
      </c>
      <c r="B58" s="88">
        <v>2004</v>
      </c>
      <c r="C58" s="105">
        <v>24.5</v>
      </c>
      <c r="D58" s="107" t="s">
        <v>114</v>
      </c>
      <c r="E58" s="106" t="s">
        <v>85</v>
      </c>
      <c r="F58" s="107" t="s">
        <v>115</v>
      </c>
    </row>
    <row r="59" spans="1:13">
      <c r="A59" s="16" t="s">
        <v>23</v>
      </c>
      <c r="B59" s="17">
        <v>2003</v>
      </c>
      <c r="C59" s="39">
        <v>24</v>
      </c>
      <c r="D59" s="40" t="s">
        <v>132</v>
      </c>
      <c r="E59" s="25">
        <v>11.1</v>
      </c>
      <c r="F59" s="18">
        <v>11</v>
      </c>
    </row>
    <row r="60" spans="1:13">
      <c r="A60" s="16" t="s">
        <v>18</v>
      </c>
      <c r="B60" s="17">
        <v>2003</v>
      </c>
      <c r="C60" s="39">
        <v>24</v>
      </c>
      <c r="D60" s="40" t="s">
        <v>102</v>
      </c>
      <c r="E60" s="27" t="s">
        <v>71</v>
      </c>
      <c r="F60" s="18">
        <v>16</v>
      </c>
    </row>
    <row r="61" spans="1:13">
      <c r="A61" s="16" t="s">
        <v>20</v>
      </c>
      <c r="B61" s="17">
        <v>2003</v>
      </c>
      <c r="C61" s="39">
        <v>20</v>
      </c>
      <c r="D61" s="40" t="s">
        <v>103</v>
      </c>
      <c r="E61" s="25">
        <v>9</v>
      </c>
      <c r="F61" s="18">
        <v>8</v>
      </c>
    </row>
    <row r="62" spans="1:13">
      <c r="A62" s="16" t="s">
        <v>16</v>
      </c>
      <c r="B62" s="17">
        <v>2004</v>
      </c>
      <c r="C62" s="39">
        <v>19.5</v>
      </c>
      <c r="D62" s="40" t="s">
        <v>69</v>
      </c>
      <c r="E62" s="38" t="s">
        <v>88</v>
      </c>
      <c r="F62" s="18">
        <v>13</v>
      </c>
    </row>
    <row r="63" spans="1:13">
      <c r="A63" s="16" t="s">
        <v>82</v>
      </c>
      <c r="B63" s="17"/>
      <c r="C63" s="39">
        <v>18</v>
      </c>
      <c r="D63" s="40" t="s">
        <v>116</v>
      </c>
      <c r="E63" s="42" t="s">
        <v>91</v>
      </c>
      <c r="F63" s="18">
        <v>4</v>
      </c>
    </row>
    <row r="64" spans="1:13">
      <c r="A64" s="16" t="s">
        <v>77</v>
      </c>
      <c r="B64" s="17">
        <v>2004</v>
      </c>
      <c r="C64" s="39">
        <v>17.5</v>
      </c>
      <c r="D64" s="40" t="s">
        <v>117</v>
      </c>
      <c r="E64" s="38" t="s">
        <v>89</v>
      </c>
      <c r="F64" s="18">
        <v>14</v>
      </c>
    </row>
    <row r="65" spans="1:12">
      <c r="A65" s="16" t="s">
        <v>14</v>
      </c>
      <c r="B65" s="17">
        <v>2004</v>
      </c>
      <c r="C65" s="39">
        <v>17</v>
      </c>
      <c r="D65" s="40" t="s">
        <v>118</v>
      </c>
      <c r="E65" s="38" t="s">
        <v>86</v>
      </c>
      <c r="F65" s="18">
        <v>15</v>
      </c>
    </row>
    <row r="66" spans="1:12">
      <c r="A66" s="16" t="s">
        <v>83</v>
      </c>
      <c r="B66" s="17"/>
      <c r="C66" s="39">
        <v>16</v>
      </c>
      <c r="D66" s="40" t="s">
        <v>106</v>
      </c>
      <c r="E66" s="41" t="s">
        <v>92</v>
      </c>
      <c r="F66" s="18">
        <v>7</v>
      </c>
    </row>
    <row r="67" spans="1:12">
      <c r="A67" s="16" t="s">
        <v>79</v>
      </c>
      <c r="B67" s="17">
        <v>2004</v>
      </c>
      <c r="C67" s="39">
        <v>15.5</v>
      </c>
      <c r="D67" s="40" t="s">
        <v>119</v>
      </c>
      <c r="E67" s="38" t="s">
        <v>90</v>
      </c>
      <c r="F67" s="18">
        <v>12</v>
      </c>
    </row>
    <row r="68" spans="1:12">
      <c r="A68" s="16" t="s">
        <v>81</v>
      </c>
      <c r="B68" s="17"/>
      <c r="C68" s="39">
        <v>12</v>
      </c>
      <c r="D68" s="40" t="s">
        <v>120</v>
      </c>
      <c r="E68" s="43"/>
      <c r="F68" s="18"/>
    </row>
    <row r="69" spans="1:12">
      <c r="A69" s="16" t="s">
        <v>78</v>
      </c>
      <c r="B69" s="17">
        <v>2004</v>
      </c>
      <c r="C69" s="39">
        <v>5.5</v>
      </c>
      <c r="D69" s="40" t="s">
        <v>107</v>
      </c>
      <c r="E69" s="36"/>
      <c r="F69" s="18"/>
    </row>
    <row r="70" spans="1:12">
      <c r="A70" s="16" t="s">
        <v>17</v>
      </c>
      <c r="B70" s="17">
        <v>2004</v>
      </c>
      <c r="C70" s="39">
        <v>4.5</v>
      </c>
      <c r="D70" s="40" t="s">
        <v>108</v>
      </c>
      <c r="E70" s="36"/>
      <c r="F70" s="18"/>
    </row>
    <row r="71" spans="1:12">
      <c r="A71" s="16" t="s">
        <v>76</v>
      </c>
      <c r="B71" s="17">
        <v>2004</v>
      </c>
      <c r="C71" s="39"/>
      <c r="D71" s="26"/>
      <c r="E71" s="36"/>
      <c r="F71" s="18"/>
    </row>
    <row r="72" spans="1:12">
      <c r="A72" s="16" t="s">
        <v>21</v>
      </c>
      <c r="B72" s="17">
        <v>2003</v>
      </c>
      <c r="C72" s="39"/>
      <c r="D72" s="26"/>
      <c r="E72" s="25"/>
      <c r="F72" s="18"/>
    </row>
    <row r="73" spans="1:12">
      <c r="A73" s="2" t="s">
        <v>44</v>
      </c>
      <c r="C73"/>
      <c r="D73" s="11"/>
      <c r="F73" s="3"/>
      <c r="K73" s="122"/>
      <c r="L73" s="122"/>
    </row>
    <row r="74" spans="1:12">
      <c r="A74" s="2" t="s">
        <v>126</v>
      </c>
      <c r="C74"/>
      <c r="D74" s="11"/>
      <c r="K74" s="124"/>
      <c r="L74" s="125"/>
    </row>
    <row r="75" spans="1:12">
      <c r="A75" s="2" t="s">
        <v>135</v>
      </c>
      <c r="C75"/>
      <c r="D75" s="11"/>
      <c r="K75" s="124"/>
      <c r="L75" s="125"/>
    </row>
    <row r="76" spans="1:12">
      <c r="A76" s="2" t="s">
        <v>136</v>
      </c>
      <c r="C76"/>
      <c r="D76" s="11"/>
      <c r="K76" s="124"/>
      <c r="L76" s="125"/>
    </row>
    <row r="77" spans="1:12">
      <c r="A77" s="15" t="s">
        <v>133</v>
      </c>
      <c r="C77"/>
      <c r="D77" s="11"/>
      <c r="K77" s="124"/>
      <c r="L77" s="125"/>
    </row>
    <row r="78" spans="1:12">
      <c r="E78" s="13" t="s">
        <v>45</v>
      </c>
      <c r="K78" s="124"/>
      <c r="L78" s="125"/>
    </row>
    <row r="79" spans="1:12" ht="26.25">
      <c r="A79" s="69" t="s">
        <v>51</v>
      </c>
      <c r="B79" s="69"/>
      <c r="C79" s="69"/>
      <c r="D79" s="69"/>
      <c r="E79" s="69"/>
      <c r="F79" s="69"/>
      <c r="K79" s="124"/>
      <c r="L79" s="125"/>
    </row>
    <row r="80" spans="1:12">
      <c r="A80" s="32" t="s">
        <v>43</v>
      </c>
      <c r="B80" s="33" t="s">
        <v>40</v>
      </c>
      <c r="C80" s="34" t="s">
        <v>42</v>
      </c>
      <c r="D80" s="31" t="s">
        <v>41</v>
      </c>
      <c r="E80" s="33" t="s">
        <v>38</v>
      </c>
      <c r="F80" s="34" t="s">
        <v>41</v>
      </c>
      <c r="K80" s="124"/>
      <c r="L80" s="125"/>
    </row>
    <row r="81" spans="1:6">
      <c r="A81" s="71" t="s">
        <v>30</v>
      </c>
      <c r="B81" s="72">
        <v>2001</v>
      </c>
      <c r="C81" s="73">
        <v>45</v>
      </c>
      <c r="D81" s="83" t="s">
        <v>112</v>
      </c>
      <c r="E81" s="84">
        <v>6.09</v>
      </c>
      <c r="F81" s="85">
        <v>1</v>
      </c>
    </row>
    <row r="82" spans="1:6">
      <c r="A82" s="71" t="s">
        <v>24</v>
      </c>
      <c r="B82" s="72">
        <v>2002</v>
      </c>
      <c r="C82" s="73">
        <v>33</v>
      </c>
      <c r="D82" s="83" t="s">
        <v>121</v>
      </c>
      <c r="E82" s="80">
        <v>10</v>
      </c>
      <c r="F82" s="85">
        <v>3</v>
      </c>
    </row>
    <row r="83" spans="1:6">
      <c r="A83" s="87" t="s">
        <v>95</v>
      </c>
      <c r="B83" s="88">
        <v>2002</v>
      </c>
      <c r="C83" s="89">
        <v>23</v>
      </c>
      <c r="D83" s="90" t="s">
        <v>122</v>
      </c>
      <c r="E83" s="91"/>
      <c r="F83" s="89"/>
    </row>
    <row r="84" spans="1:6">
      <c r="A84" s="16" t="s">
        <v>96</v>
      </c>
      <c r="B84" s="17">
        <v>2002</v>
      </c>
      <c r="C84" s="18">
        <v>19</v>
      </c>
      <c r="D84" s="40" t="s">
        <v>113</v>
      </c>
      <c r="E84" s="36" t="s">
        <v>39</v>
      </c>
      <c r="F84" s="18">
        <v>5</v>
      </c>
    </row>
    <row r="85" spans="1:6">
      <c r="A85" s="37" t="s">
        <v>25</v>
      </c>
      <c r="B85" s="17">
        <v>2002</v>
      </c>
      <c r="C85" s="18">
        <v>13</v>
      </c>
      <c r="D85" s="40" t="s">
        <v>131</v>
      </c>
      <c r="E85" s="20"/>
      <c r="F85" s="18"/>
    </row>
    <row r="86" spans="1:6">
      <c r="A86" s="16" t="s">
        <v>98</v>
      </c>
      <c r="B86" s="17">
        <v>2001</v>
      </c>
      <c r="C86" s="18">
        <v>13</v>
      </c>
      <c r="D86" s="40" t="s">
        <v>130</v>
      </c>
      <c r="E86" s="38">
        <v>6.45</v>
      </c>
      <c r="F86" s="35">
        <v>2</v>
      </c>
    </row>
    <row r="87" spans="1:6">
      <c r="A87" s="16" t="s">
        <v>97</v>
      </c>
      <c r="B87" s="17">
        <v>2001</v>
      </c>
      <c r="C87" s="18">
        <v>10</v>
      </c>
      <c r="D87" s="40" t="s">
        <v>101</v>
      </c>
      <c r="E87" s="29"/>
      <c r="F87" s="18"/>
    </row>
    <row r="88" spans="1:6">
      <c r="A88" s="16" t="s">
        <v>31</v>
      </c>
      <c r="B88" s="17">
        <v>2001</v>
      </c>
      <c r="C88" s="18">
        <v>7.5</v>
      </c>
      <c r="D88" s="40" t="s">
        <v>114</v>
      </c>
      <c r="E88" s="29">
        <v>12.8</v>
      </c>
      <c r="F88" s="18">
        <v>4</v>
      </c>
    </row>
    <row r="89" spans="1:6">
      <c r="A89" s="37" t="s">
        <v>94</v>
      </c>
      <c r="B89" s="17">
        <v>2002</v>
      </c>
      <c r="C89" s="18"/>
      <c r="D89" s="26"/>
      <c r="E89" s="20"/>
      <c r="F89" s="18"/>
    </row>
    <row r="90" spans="1:6">
      <c r="A90" s="2" t="s">
        <v>44</v>
      </c>
    </row>
    <row r="91" spans="1:6">
      <c r="A91" s="2" t="s">
        <v>127</v>
      </c>
    </row>
    <row r="92" spans="1:6">
      <c r="A92" s="2" t="s">
        <v>129</v>
      </c>
      <c r="E92" s="13" t="s">
        <v>45</v>
      </c>
    </row>
    <row r="93" spans="1:6" ht="26.25">
      <c r="A93" s="70" t="s">
        <v>52</v>
      </c>
      <c r="B93" s="70"/>
      <c r="C93" s="70"/>
      <c r="D93" s="70"/>
      <c r="E93" s="70"/>
      <c r="F93" s="70"/>
    </row>
    <row r="94" spans="1:6">
      <c r="A94" s="32" t="s">
        <v>43</v>
      </c>
      <c r="B94" s="33" t="s">
        <v>40</v>
      </c>
      <c r="C94" s="34" t="s">
        <v>42</v>
      </c>
      <c r="D94" s="31" t="s">
        <v>41</v>
      </c>
      <c r="E94" s="33" t="s">
        <v>38</v>
      </c>
      <c r="F94" s="34" t="s">
        <v>41</v>
      </c>
    </row>
    <row r="95" spans="1:6" ht="15.75">
      <c r="A95" s="71" t="s">
        <v>26</v>
      </c>
      <c r="B95" s="72">
        <v>2000</v>
      </c>
      <c r="C95" s="73">
        <v>35</v>
      </c>
      <c r="D95" s="74">
        <v>1</v>
      </c>
      <c r="E95" s="75">
        <v>4.8</v>
      </c>
      <c r="F95" s="76">
        <v>1</v>
      </c>
    </row>
    <row r="96" spans="1:6" ht="15.75">
      <c r="A96" s="71" t="s">
        <v>27</v>
      </c>
      <c r="B96" s="72">
        <v>2000</v>
      </c>
      <c r="C96" s="73">
        <v>28</v>
      </c>
      <c r="D96" s="74">
        <v>2</v>
      </c>
      <c r="E96" s="77">
        <v>12</v>
      </c>
      <c r="F96" s="78">
        <v>4</v>
      </c>
    </row>
    <row r="97" spans="1:6" ht="15.75">
      <c r="A97" s="16" t="s">
        <v>99</v>
      </c>
      <c r="B97" s="17">
        <v>2000</v>
      </c>
      <c r="C97" s="18">
        <v>23.5</v>
      </c>
      <c r="D97" s="19">
        <v>3</v>
      </c>
      <c r="E97" s="22">
        <v>9.6</v>
      </c>
      <c r="F97" s="21">
        <v>3</v>
      </c>
    </row>
    <row r="98" spans="1:6">
      <c r="A98" s="16" t="s">
        <v>100</v>
      </c>
      <c r="B98" s="17">
        <v>2000</v>
      </c>
      <c r="C98" s="18">
        <v>21</v>
      </c>
      <c r="D98" s="126">
        <v>4</v>
      </c>
      <c r="E98" s="22">
        <v>7.9</v>
      </c>
      <c r="F98" s="24">
        <v>2</v>
      </c>
    </row>
    <row r="99" spans="1:6">
      <c r="A99" s="16" t="s">
        <v>29</v>
      </c>
      <c r="B99" s="17">
        <v>2000</v>
      </c>
      <c r="C99" s="18">
        <v>20</v>
      </c>
      <c r="D99" s="126">
        <v>5</v>
      </c>
      <c r="E99" s="22">
        <v>18</v>
      </c>
      <c r="F99" s="24">
        <v>5</v>
      </c>
    </row>
    <row r="100" spans="1:6">
      <c r="A100" s="16" t="s">
        <v>28</v>
      </c>
      <c r="B100" s="17">
        <v>2000</v>
      </c>
      <c r="C100" s="18">
        <v>15</v>
      </c>
      <c r="D100" s="126">
        <v>6</v>
      </c>
      <c r="E100" s="20"/>
      <c r="F100" s="23">
        <v>6</v>
      </c>
    </row>
    <row r="101" spans="1:6">
      <c r="A101" s="92"/>
      <c r="B101" s="54"/>
      <c r="C101" s="93"/>
      <c r="D101" s="94"/>
      <c r="E101" s="95"/>
      <c r="F101" s="93"/>
    </row>
    <row r="102" spans="1:6" ht="26.25">
      <c r="A102" s="82" t="s">
        <v>134</v>
      </c>
      <c r="B102" s="82"/>
      <c r="C102" s="82"/>
      <c r="D102" s="82"/>
      <c r="E102" s="82"/>
      <c r="F102" s="82"/>
    </row>
    <row r="103" spans="1:6" ht="15.75">
      <c r="A103" s="71" t="s">
        <v>32</v>
      </c>
      <c r="B103" s="72">
        <v>1999</v>
      </c>
      <c r="C103" s="73">
        <v>30</v>
      </c>
      <c r="D103" s="79">
        <v>1</v>
      </c>
      <c r="E103" s="80">
        <v>6</v>
      </c>
      <c r="F103" s="81">
        <v>1</v>
      </c>
    </row>
    <row r="104" spans="1:6" ht="15.75">
      <c r="A104" s="16" t="s">
        <v>34</v>
      </c>
      <c r="B104" s="17">
        <v>1999</v>
      </c>
      <c r="C104" s="18">
        <v>23</v>
      </c>
      <c r="D104" s="28">
        <v>2</v>
      </c>
      <c r="E104" s="20">
        <v>8.6</v>
      </c>
      <c r="F104" s="30">
        <v>2</v>
      </c>
    </row>
    <row r="105" spans="1:6" ht="15.75">
      <c r="A105" s="16" t="s">
        <v>35</v>
      </c>
      <c r="B105" s="17">
        <v>1999</v>
      </c>
      <c r="C105" s="18">
        <v>10</v>
      </c>
      <c r="D105" s="28">
        <v>3</v>
      </c>
      <c r="E105" s="29"/>
      <c r="F105" s="30"/>
    </row>
    <row r="106" spans="1:6" ht="15.75">
      <c r="A106" s="16" t="s">
        <v>33</v>
      </c>
      <c r="B106" s="17">
        <v>1999</v>
      </c>
      <c r="C106" s="18">
        <v>8</v>
      </c>
      <c r="D106" s="126">
        <v>4</v>
      </c>
      <c r="E106" s="29"/>
      <c r="F106" s="30"/>
    </row>
    <row r="107" spans="1:6" ht="15.75">
      <c r="A107" s="16" t="s">
        <v>36</v>
      </c>
      <c r="B107" s="17">
        <v>1998</v>
      </c>
      <c r="C107" s="18">
        <v>0</v>
      </c>
      <c r="D107" s="126">
        <v>5</v>
      </c>
      <c r="E107" s="29"/>
      <c r="F107" s="30"/>
    </row>
    <row r="108" spans="1:6">
      <c r="A108" s="96"/>
      <c r="B108" s="97"/>
      <c r="C108" s="98"/>
      <c r="D108" s="99"/>
      <c r="E108" s="97"/>
      <c r="F108" s="98"/>
    </row>
    <row r="109" spans="1:6">
      <c r="A109" s="2" t="s">
        <v>44</v>
      </c>
    </row>
    <row r="110" spans="1:6">
      <c r="A110" s="2" t="s">
        <v>128</v>
      </c>
    </row>
    <row r="111" spans="1:6">
      <c r="E111" s="13" t="s">
        <v>46</v>
      </c>
    </row>
  </sheetData>
  <sortState ref="A51:F72">
    <sortCondition ref="D51:D72"/>
  </sortState>
  <mergeCells count="10">
    <mergeCell ref="A9:F9"/>
    <mergeCell ref="A49:F49"/>
    <mergeCell ref="A79:F79"/>
    <mergeCell ref="A93:F93"/>
    <mergeCell ref="A102:F102"/>
    <mergeCell ref="A4:H4"/>
    <mergeCell ref="A1:F1"/>
    <mergeCell ref="A2:F2"/>
    <mergeCell ref="A3:F3"/>
    <mergeCell ref="B5:D6"/>
  </mergeCells>
  <pageMargins left="0.7" right="0.7" top="0.78740157499999996" bottom="0.78740157499999996" header="0.3" footer="0.3"/>
  <pageSetup paperSize="9" scale="93" orientation="portrait" r:id="rId1"/>
  <rowBreaks count="2" manualBreakCount="2">
    <brk id="48" max="5" man="1"/>
    <brk id="78" max="5" man="1"/>
  </rowBreaks>
  <customProperties>
    <customPr name="DVSECTION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"/>
  <sheetViews>
    <sheetView workbookViewId="0"/>
  </sheetViews>
  <sheetFormatPr defaultRowHeight="15"/>
  <sheetData/>
  <pageMargins left="0.7" right="0.7" top="0.78740157499999996" bottom="0.78740157499999996" header="0.3" footer="0.3"/>
  <customProperties>
    <customPr name="DVSECTION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3"/>
  <dimension ref="A1"/>
  <sheetViews>
    <sheetView workbookViewId="0"/>
  </sheetViews>
  <sheetFormatPr defaultRowHeight="15"/>
  <sheetData/>
  <pageMargins left="0.7" right="0.7" top="0.78740157499999996" bottom="0.78740157499999996" header="0.3" footer="0.3"/>
  <customProperties>
    <customPr name="DVSECTION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>
  <sheetPr codeName="List4"/>
  <dimension ref="A1:IV7"/>
  <sheetViews>
    <sheetView workbookViewId="0"/>
  </sheetViews>
  <sheetFormatPr defaultRowHeight="15"/>
  <sheetData>
    <row r="1" spans="1:256">
      <c r="A1" t="e">
        <f>IF(List1!#REF!,"AAAAAFrPeQA=",0)</f>
        <v>#REF!</v>
      </c>
      <c r="B1" t="e">
        <f>AND(List1!#REF!,"AAAAAFrPeQE=")</f>
        <v>#REF!</v>
      </c>
      <c r="C1" t="e">
        <f>IF(List1!A:A,"AAAAAFrPeQI=",0)</f>
        <v>#VALUE!</v>
      </c>
      <c r="D1">
        <f>IF(List2!1:1,"AAAAAFrPeQM=",0)</f>
        <v>0</v>
      </c>
      <c r="E1" t="e">
        <f>AND(List2!A1,"AAAAAFrPeQQ=")</f>
        <v>#VALUE!</v>
      </c>
      <c r="F1">
        <f>IF(List2!A:A,"AAAAAFrPeQU=",0)</f>
        <v>0</v>
      </c>
      <c r="G1">
        <f>IF(List3!1:1,"AAAAAFrPeQY=",0)</f>
        <v>0</v>
      </c>
      <c r="H1" t="e">
        <f>AND(List3!A1,"AAAAAFrPeQc=")</f>
        <v>#VALUE!</v>
      </c>
      <c r="I1">
        <f>IF(List3!A:A,"AAAAAFrPeQg=",0)</f>
        <v>0</v>
      </c>
    </row>
    <row r="2" spans="1:256">
      <c r="A2" t="e">
        <f>AND(List1!#REF!,"AAAAAH7wfQA=")</f>
        <v>#REF!</v>
      </c>
      <c r="B2" t="e">
        <f>AND(List1!#REF!,"AAAAAH7wfQE=")</f>
        <v>#REF!</v>
      </c>
      <c r="C2" t="e">
        <f>AND(List1!#REF!,"AAAAAH7wfQI=")</f>
        <v>#REF!</v>
      </c>
      <c r="D2" t="e">
        <f>AND(List1!#REF!,"AAAAAH7wfQM=")</f>
        <v>#REF!</v>
      </c>
      <c r="E2" t="e">
        <f>AND(List1!#REF!,"AAAAAH7wfQQ=")</f>
        <v>#REF!</v>
      </c>
      <c r="F2">
        <f>IF(List1!9:9,"AAAAAH7wfQU=",0)</f>
        <v>0</v>
      </c>
      <c r="G2" t="e">
        <f>AND(List1!A9,"AAAAAH7wfQY=")</f>
        <v>#VALUE!</v>
      </c>
      <c r="H2" t="e">
        <f>AND(List1!B9,"AAAAAH7wfQc=")</f>
        <v>#VALUE!</v>
      </c>
      <c r="I2" t="e">
        <f>AND(List1!C9,"AAAAAH7wfQg=")</f>
        <v>#VALUE!</v>
      </c>
      <c r="J2" t="e">
        <f>AND(List1!D9,"AAAAAH7wfQk=")</f>
        <v>#VALUE!</v>
      </c>
      <c r="K2" t="e">
        <f>AND(List1!E9,"AAAAAH7wfQo=")</f>
        <v>#VALUE!</v>
      </c>
      <c r="L2" t="e">
        <f>AND(List1!F9,"AAAAAH7wfQs=")</f>
        <v>#VALUE!</v>
      </c>
      <c r="M2">
        <f>IF(List1!10:10,"AAAAAH7wfQw=",0)</f>
        <v>0</v>
      </c>
      <c r="N2" t="e">
        <f>AND(List1!A10,"AAAAAH7wfQ0=")</f>
        <v>#VALUE!</v>
      </c>
      <c r="O2" t="e">
        <f>AND(List1!B10,"AAAAAH7wfQ4=")</f>
        <v>#VALUE!</v>
      </c>
      <c r="P2" t="e">
        <f>AND(List1!C10,"AAAAAH7wfQ8=")</f>
        <v>#VALUE!</v>
      </c>
      <c r="Q2" t="e">
        <f>AND(List1!D10,"AAAAAH7wfRA=")</f>
        <v>#VALUE!</v>
      </c>
      <c r="R2" t="e">
        <f>AND(List1!E10,"AAAAAH7wfRE=")</f>
        <v>#VALUE!</v>
      </c>
      <c r="S2" t="e">
        <f>AND(List1!F10,"AAAAAH7wfRI=")</f>
        <v>#VALUE!</v>
      </c>
      <c r="T2">
        <f>IF(List1!11:11,"AAAAAH7wfRM=",0)</f>
        <v>0</v>
      </c>
      <c r="U2" t="e">
        <f>AND(List1!A11,"AAAAAH7wfRQ=")</f>
        <v>#VALUE!</v>
      </c>
      <c r="V2" t="e">
        <f>AND(List1!B11,"AAAAAH7wfRU=")</f>
        <v>#VALUE!</v>
      </c>
      <c r="W2" t="e">
        <f>AND(List1!C11,"AAAAAH7wfRY=")</f>
        <v>#VALUE!</v>
      </c>
      <c r="X2" t="e">
        <f>AND(List1!D11,"AAAAAH7wfRc=")</f>
        <v>#VALUE!</v>
      </c>
      <c r="Y2" t="e">
        <f>AND(List1!E11,"AAAAAH7wfRg=")</f>
        <v>#VALUE!</v>
      </c>
      <c r="Z2" t="e">
        <f>AND(List1!F11,"AAAAAH7wfRk=")</f>
        <v>#VALUE!</v>
      </c>
      <c r="AA2">
        <f>IF(List1!12:12,"AAAAAH7wfRo=",0)</f>
        <v>0</v>
      </c>
      <c r="AB2" t="e">
        <f>AND(List1!A12,"AAAAAH7wfRs=")</f>
        <v>#VALUE!</v>
      </c>
      <c r="AC2" t="e">
        <f>AND(List1!B12,"AAAAAH7wfRw=")</f>
        <v>#VALUE!</v>
      </c>
      <c r="AD2" t="e">
        <f>AND(List1!C12,"AAAAAH7wfR0=")</f>
        <v>#VALUE!</v>
      </c>
      <c r="AE2" t="e">
        <f>AND(List1!D12,"AAAAAH7wfR4=")</f>
        <v>#VALUE!</v>
      </c>
      <c r="AF2" t="e">
        <f>AND(List1!E12,"AAAAAH7wfR8=")</f>
        <v>#VALUE!</v>
      </c>
      <c r="AG2" t="e">
        <f>AND(List1!F12,"AAAAAH7wfSA=")</f>
        <v>#VALUE!</v>
      </c>
      <c r="AH2">
        <f>IF(List1!13:13,"AAAAAH7wfSE=",0)</f>
        <v>0</v>
      </c>
      <c r="AI2" t="e">
        <f>AND(List1!A13,"AAAAAH7wfSI=")</f>
        <v>#VALUE!</v>
      </c>
      <c r="AJ2" t="e">
        <f>AND(List1!B13,"AAAAAH7wfSM=")</f>
        <v>#VALUE!</v>
      </c>
      <c r="AK2" t="e">
        <f>AND(List1!C13,"AAAAAH7wfSQ=")</f>
        <v>#VALUE!</v>
      </c>
      <c r="AL2" t="e">
        <f>AND(List1!D13,"AAAAAH7wfSU=")</f>
        <v>#VALUE!</v>
      </c>
      <c r="AM2" t="e">
        <f>AND(List1!E13,"AAAAAH7wfSY=")</f>
        <v>#VALUE!</v>
      </c>
      <c r="AN2" t="e">
        <f>AND(List1!F13,"AAAAAH7wfSc=")</f>
        <v>#VALUE!</v>
      </c>
      <c r="AO2">
        <f>IF(List1!14:14,"AAAAAH7wfSg=",0)</f>
        <v>0</v>
      </c>
      <c r="AP2" t="e">
        <f>AND(List1!A14,"AAAAAH7wfSk=")</f>
        <v>#VALUE!</v>
      </c>
      <c r="AQ2" t="e">
        <f>AND(List1!B14,"AAAAAH7wfSo=")</f>
        <v>#VALUE!</v>
      </c>
      <c r="AR2" t="e">
        <f>AND(List1!C14,"AAAAAH7wfSs=")</f>
        <v>#VALUE!</v>
      </c>
      <c r="AS2" t="e">
        <f>AND(List1!D14,"AAAAAH7wfSw=")</f>
        <v>#VALUE!</v>
      </c>
      <c r="AT2" t="e">
        <f>AND(List1!E14,"AAAAAH7wfS0=")</f>
        <v>#VALUE!</v>
      </c>
      <c r="AU2" t="e">
        <f>AND(List1!F14,"AAAAAH7wfS4=")</f>
        <v>#VALUE!</v>
      </c>
      <c r="AV2">
        <f>IF(List1!15:15,"AAAAAH7wfS8=",0)</f>
        <v>0</v>
      </c>
      <c r="AW2" t="e">
        <f>AND(List1!A15,"AAAAAH7wfTA=")</f>
        <v>#VALUE!</v>
      </c>
      <c r="AX2" t="e">
        <f>AND(List1!B15,"AAAAAH7wfTE=")</f>
        <v>#VALUE!</v>
      </c>
      <c r="AY2" t="e">
        <f>AND(List1!C15,"AAAAAH7wfTI=")</f>
        <v>#VALUE!</v>
      </c>
      <c r="AZ2" t="e">
        <f>AND(List1!D15,"AAAAAH7wfTM=")</f>
        <v>#VALUE!</v>
      </c>
      <c r="BA2" t="e">
        <f>AND(List1!E15,"AAAAAH7wfTQ=")</f>
        <v>#VALUE!</v>
      </c>
      <c r="BB2" t="e">
        <f>AND(List1!F15,"AAAAAH7wfTU=")</f>
        <v>#VALUE!</v>
      </c>
      <c r="BC2">
        <f>IF(List1!16:16,"AAAAAH7wfTY=",0)</f>
        <v>0</v>
      </c>
      <c r="BD2" t="e">
        <f>AND(List1!A16,"AAAAAH7wfTc=")</f>
        <v>#VALUE!</v>
      </c>
      <c r="BE2" t="e">
        <f>AND(List1!B16,"AAAAAH7wfTg=")</f>
        <v>#VALUE!</v>
      </c>
      <c r="BF2" t="e">
        <f>AND(List1!C16,"AAAAAH7wfTk=")</f>
        <v>#VALUE!</v>
      </c>
      <c r="BG2" t="e">
        <f>AND(List1!D16,"AAAAAH7wfTo=")</f>
        <v>#VALUE!</v>
      </c>
      <c r="BH2" t="e">
        <f>AND(List1!E16,"AAAAAH7wfTs=")</f>
        <v>#VALUE!</v>
      </c>
      <c r="BI2" t="e">
        <f>AND(List1!F16,"AAAAAH7wfTw=")</f>
        <v>#VALUE!</v>
      </c>
      <c r="BJ2">
        <f>IF(List1!17:17,"AAAAAH7wfT0=",0)</f>
        <v>0</v>
      </c>
      <c r="BK2" t="e">
        <f>AND(List1!A17,"AAAAAH7wfT4=")</f>
        <v>#VALUE!</v>
      </c>
      <c r="BL2" t="e">
        <f>AND(List1!B17,"AAAAAH7wfT8=")</f>
        <v>#VALUE!</v>
      </c>
      <c r="BM2" t="e">
        <f>AND(List1!C17,"AAAAAH7wfUA=")</f>
        <v>#VALUE!</v>
      </c>
      <c r="BN2" t="e">
        <f>AND(List1!D17,"AAAAAH7wfUE=")</f>
        <v>#VALUE!</v>
      </c>
      <c r="BO2" t="e">
        <f>AND(List1!E17,"AAAAAH7wfUI=")</f>
        <v>#VALUE!</v>
      </c>
      <c r="BP2" t="e">
        <f>AND(List1!F17,"AAAAAH7wfUM=")</f>
        <v>#VALUE!</v>
      </c>
      <c r="BQ2">
        <f>IF(List1!18:18,"AAAAAH7wfUQ=",0)</f>
        <v>0</v>
      </c>
      <c r="BR2" t="e">
        <f>AND(List1!A18,"AAAAAH7wfUU=")</f>
        <v>#VALUE!</v>
      </c>
      <c r="BS2" t="e">
        <f>AND(List1!B18,"AAAAAH7wfUY=")</f>
        <v>#VALUE!</v>
      </c>
      <c r="BT2" t="e">
        <f>AND(List1!C18,"AAAAAH7wfUc=")</f>
        <v>#VALUE!</v>
      </c>
      <c r="BU2" t="e">
        <f>AND(List1!D18,"AAAAAH7wfUg=")</f>
        <v>#VALUE!</v>
      </c>
      <c r="BV2" t="e">
        <f>AND(List1!E18,"AAAAAH7wfUk=")</f>
        <v>#VALUE!</v>
      </c>
      <c r="BW2" t="e">
        <f>AND(List1!F18,"AAAAAH7wfUo=")</f>
        <v>#VALUE!</v>
      </c>
      <c r="BX2">
        <f>IF(List1!19:19,"AAAAAH7wfUs=",0)</f>
        <v>0</v>
      </c>
      <c r="BY2" t="e">
        <f>AND(List1!A19,"AAAAAH7wfUw=")</f>
        <v>#VALUE!</v>
      </c>
      <c r="BZ2" t="e">
        <f>AND(List1!B19,"AAAAAH7wfU0=")</f>
        <v>#VALUE!</v>
      </c>
      <c r="CA2" t="e">
        <f>AND(List1!C19,"AAAAAH7wfU4=")</f>
        <v>#VALUE!</v>
      </c>
      <c r="CB2" t="e">
        <f>AND(List1!D19,"AAAAAH7wfU8=")</f>
        <v>#VALUE!</v>
      </c>
      <c r="CC2" t="e">
        <f>AND(List1!E19,"AAAAAH7wfVA=")</f>
        <v>#VALUE!</v>
      </c>
      <c r="CD2" t="e">
        <f>AND(List1!F19,"AAAAAH7wfVE=")</f>
        <v>#VALUE!</v>
      </c>
      <c r="CE2">
        <f>IF(List1!20:20,"AAAAAH7wfVI=",0)</f>
        <v>0</v>
      </c>
      <c r="CF2" t="e">
        <f>AND(List1!A20,"AAAAAH7wfVM=")</f>
        <v>#VALUE!</v>
      </c>
      <c r="CG2" t="e">
        <f>AND(List1!B20,"AAAAAH7wfVQ=")</f>
        <v>#VALUE!</v>
      </c>
      <c r="CH2" t="e">
        <f>AND(List1!C20,"AAAAAH7wfVU=")</f>
        <v>#VALUE!</v>
      </c>
      <c r="CI2" t="e">
        <f>AND(List1!D20,"AAAAAH7wfVY=")</f>
        <v>#VALUE!</v>
      </c>
      <c r="CJ2" t="e">
        <f>AND(List1!E20,"AAAAAH7wfVc=")</f>
        <v>#VALUE!</v>
      </c>
      <c r="CK2" t="e">
        <f>AND(List1!F20,"AAAAAH7wfVg=")</f>
        <v>#VALUE!</v>
      </c>
      <c r="CL2">
        <f>IF(List1!21:21,"AAAAAH7wfVk=",0)</f>
        <v>0</v>
      </c>
      <c r="CM2" t="e">
        <f>AND(List1!A21,"AAAAAH7wfVo=")</f>
        <v>#VALUE!</v>
      </c>
      <c r="CN2" t="e">
        <f>AND(List1!B21,"AAAAAH7wfVs=")</f>
        <v>#VALUE!</v>
      </c>
      <c r="CO2" t="e">
        <f>AND(List1!C21,"AAAAAH7wfVw=")</f>
        <v>#VALUE!</v>
      </c>
      <c r="CP2" t="e">
        <f>AND(List1!D21,"AAAAAH7wfV0=")</f>
        <v>#VALUE!</v>
      </c>
      <c r="CQ2" t="e">
        <f>AND(List1!E21,"AAAAAH7wfV4=")</f>
        <v>#VALUE!</v>
      </c>
      <c r="CR2" t="e">
        <f>AND(List1!F21,"AAAAAH7wfV8=")</f>
        <v>#VALUE!</v>
      </c>
      <c r="CS2">
        <f>IF(List1!22:22,"AAAAAH7wfWA=",0)</f>
        <v>0</v>
      </c>
      <c r="CT2" t="e">
        <f>AND(List1!A22,"AAAAAH7wfWE=")</f>
        <v>#VALUE!</v>
      </c>
      <c r="CU2" t="e">
        <f>AND(List1!B22,"AAAAAH7wfWI=")</f>
        <v>#VALUE!</v>
      </c>
      <c r="CV2" t="e">
        <f>AND(List1!C22,"AAAAAH7wfWM=")</f>
        <v>#VALUE!</v>
      </c>
      <c r="CW2" t="e">
        <f>AND(List1!D22,"AAAAAH7wfWQ=")</f>
        <v>#VALUE!</v>
      </c>
      <c r="CX2" t="e">
        <f>AND(List1!E22,"AAAAAH7wfWU=")</f>
        <v>#VALUE!</v>
      </c>
      <c r="CY2" t="e">
        <f>AND(List1!F22,"AAAAAH7wfWY=")</f>
        <v>#VALUE!</v>
      </c>
      <c r="CZ2">
        <f>IF(List1!23:23,"AAAAAH7wfWc=",0)</f>
        <v>0</v>
      </c>
      <c r="DA2" t="e">
        <f>AND(List1!A23,"AAAAAH7wfWg=")</f>
        <v>#VALUE!</v>
      </c>
      <c r="DB2" t="e">
        <f>AND(List1!B23,"AAAAAH7wfWk=")</f>
        <v>#VALUE!</v>
      </c>
      <c r="DC2" t="e">
        <f>AND(List1!C23,"AAAAAH7wfWo=")</f>
        <v>#VALUE!</v>
      </c>
      <c r="DD2" t="e">
        <f>AND(List1!D23,"AAAAAH7wfWs=")</f>
        <v>#VALUE!</v>
      </c>
      <c r="DE2" t="e">
        <f>AND(List1!E23,"AAAAAH7wfWw=")</f>
        <v>#VALUE!</v>
      </c>
      <c r="DF2" t="e">
        <f>AND(List1!F23,"AAAAAH7wfW0=")</f>
        <v>#VALUE!</v>
      </c>
      <c r="DG2">
        <f>IF(List1!24:24,"AAAAAH7wfW4=",0)</f>
        <v>0</v>
      </c>
      <c r="DH2" t="e">
        <f>AND(List1!A24,"AAAAAH7wfW8=")</f>
        <v>#VALUE!</v>
      </c>
      <c r="DI2" t="e">
        <f>AND(List1!B24,"AAAAAH7wfXA=")</f>
        <v>#VALUE!</v>
      </c>
      <c r="DJ2" t="e">
        <f>AND(List1!C24,"AAAAAH7wfXE=")</f>
        <v>#VALUE!</v>
      </c>
      <c r="DK2" t="e">
        <f>AND(List1!D24,"AAAAAH7wfXI=")</f>
        <v>#VALUE!</v>
      </c>
      <c r="DL2" t="e">
        <f>AND(List1!E24,"AAAAAH7wfXM=")</f>
        <v>#VALUE!</v>
      </c>
      <c r="DM2" t="e">
        <f>AND(List1!F24,"AAAAAH7wfXQ=")</f>
        <v>#VALUE!</v>
      </c>
      <c r="DN2">
        <f>IF(List1!25:25,"AAAAAH7wfXU=",0)</f>
        <v>0</v>
      </c>
      <c r="DO2" t="e">
        <f>AND(List1!A25,"AAAAAH7wfXY=")</f>
        <v>#VALUE!</v>
      </c>
      <c r="DP2" t="e">
        <f>AND(List1!B25,"AAAAAH7wfXc=")</f>
        <v>#VALUE!</v>
      </c>
      <c r="DQ2" t="e">
        <f>AND(List1!C25,"AAAAAH7wfXg=")</f>
        <v>#VALUE!</v>
      </c>
      <c r="DR2" t="e">
        <f>AND(List1!D25,"AAAAAH7wfXk=")</f>
        <v>#VALUE!</v>
      </c>
      <c r="DS2" t="e">
        <f>AND(List1!E25,"AAAAAH7wfXo=")</f>
        <v>#VALUE!</v>
      </c>
      <c r="DT2" t="e">
        <f>AND(List1!F25,"AAAAAH7wfXs=")</f>
        <v>#VALUE!</v>
      </c>
      <c r="DU2">
        <f>IF(List1!26:26,"AAAAAH7wfXw=",0)</f>
        <v>0</v>
      </c>
      <c r="DV2" t="e">
        <f>AND(List1!A26,"AAAAAH7wfX0=")</f>
        <v>#VALUE!</v>
      </c>
      <c r="DW2" t="e">
        <f>AND(List1!B26,"AAAAAH7wfX4=")</f>
        <v>#VALUE!</v>
      </c>
      <c r="DX2" t="e">
        <f>AND(List1!C26,"AAAAAH7wfX8=")</f>
        <v>#VALUE!</v>
      </c>
      <c r="DY2" t="e">
        <f>AND(List1!D26,"AAAAAH7wfYA=")</f>
        <v>#VALUE!</v>
      </c>
      <c r="DZ2" t="e">
        <f>AND(List1!E26,"AAAAAH7wfYE=")</f>
        <v>#VALUE!</v>
      </c>
      <c r="EA2" t="e">
        <f>AND(List1!F26,"AAAAAH7wfYI=")</f>
        <v>#VALUE!</v>
      </c>
      <c r="EB2">
        <f>IF(List1!27:27,"AAAAAH7wfYM=",0)</f>
        <v>0</v>
      </c>
      <c r="EC2" t="e">
        <f>AND(List1!A27,"AAAAAH7wfYQ=")</f>
        <v>#VALUE!</v>
      </c>
      <c r="ED2" t="e">
        <f>AND(List1!B27,"AAAAAH7wfYU=")</f>
        <v>#VALUE!</v>
      </c>
      <c r="EE2" t="e">
        <f>AND(List1!C27,"AAAAAH7wfYY=")</f>
        <v>#VALUE!</v>
      </c>
      <c r="EF2" t="e">
        <f>AND(List1!D27,"AAAAAH7wfYc=")</f>
        <v>#VALUE!</v>
      </c>
      <c r="EG2" t="e">
        <f>AND(List1!E27,"AAAAAH7wfYg=")</f>
        <v>#VALUE!</v>
      </c>
      <c r="EH2" t="e">
        <f>AND(List1!F27,"AAAAAH7wfYk=")</f>
        <v>#VALUE!</v>
      </c>
      <c r="EI2">
        <f>IF(List1!28:28,"AAAAAH7wfYo=",0)</f>
        <v>0</v>
      </c>
      <c r="EJ2" t="e">
        <f>AND(List1!A28,"AAAAAH7wfYs=")</f>
        <v>#VALUE!</v>
      </c>
      <c r="EK2" t="e">
        <f>AND(List1!B28,"AAAAAH7wfYw=")</f>
        <v>#VALUE!</v>
      </c>
      <c r="EL2" t="e">
        <f>AND(List1!C28,"AAAAAH7wfY0=")</f>
        <v>#VALUE!</v>
      </c>
      <c r="EM2" t="e">
        <f>AND(List1!D28,"AAAAAH7wfY4=")</f>
        <v>#VALUE!</v>
      </c>
      <c r="EN2" t="e">
        <f>AND(List1!E28,"AAAAAH7wfY8=")</f>
        <v>#VALUE!</v>
      </c>
      <c r="EO2" t="e">
        <f>AND(List1!F28,"AAAAAH7wfZA=")</f>
        <v>#VALUE!</v>
      </c>
      <c r="EP2">
        <f>IF(List1!29:29,"AAAAAH7wfZE=",0)</f>
        <v>0</v>
      </c>
      <c r="EQ2" t="e">
        <f>AND(List1!A29,"AAAAAH7wfZI=")</f>
        <v>#VALUE!</v>
      </c>
      <c r="ER2" t="e">
        <f>AND(List1!B29,"AAAAAH7wfZM=")</f>
        <v>#VALUE!</v>
      </c>
      <c r="ES2" t="e">
        <f>AND(List1!C29,"AAAAAH7wfZQ=")</f>
        <v>#VALUE!</v>
      </c>
      <c r="ET2" t="e">
        <f>AND(List1!D29,"AAAAAH7wfZU=")</f>
        <v>#VALUE!</v>
      </c>
      <c r="EU2" t="e">
        <f>AND(List1!E29,"AAAAAH7wfZY=")</f>
        <v>#VALUE!</v>
      </c>
      <c r="EV2" t="e">
        <f>AND(List1!F29,"AAAAAH7wfZc=")</f>
        <v>#VALUE!</v>
      </c>
      <c r="EW2">
        <f>IF(List1!30:30,"AAAAAH7wfZg=",0)</f>
        <v>0</v>
      </c>
      <c r="EX2" t="e">
        <f>AND(List1!A30,"AAAAAH7wfZk=")</f>
        <v>#VALUE!</v>
      </c>
      <c r="EY2" t="e">
        <f>AND(List1!B30,"AAAAAH7wfZo=")</f>
        <v>#VALUE!</v>
      </c>
      <c r="EZ2" t="e">
        <f>AND(List1!C30,"AAAAAH7wfZs=")</f>
        <v>#VALUE!</v>
      </c>
      <c r="FA2" t="e">
        <f>AND(List1!D30,"AAAAAH7wfZw=")</f>
        <v>#VALUE!</v>
      </c>
      <c r="FB2" t="e">
        <f>AND(List1!E30,"AAAAAH7wfZ0=")</f>
        <v>#VALUE!</v>
      </c>
      <c r="FC2" t="e">
        <f>AND(List1!F30,"AAAAAH7wfZ4=")</f>
        <v>#VALUE!</v>
      </c>
      <c r="FD2">
        <f>IF(List1!31:31,"AAAAAH7wfZ8=",0)</f>
        <v>0</v>
      </c>
      <c r="FE2" t="e">
        <f>AND(List1!A31,"AAAAAH7wfaA=")</f>
        <v>#VALUE!</v>
      </c>
      <c r="FF2" t="e">
        <f>AND(List1!B31,"AAAAAH7wfaE=")</f>
        <v>#VALUE!</v>
      </c>
      <c r="FG2" t="e">
        <f>AND(List1!C31,"AAAAAH7wfaI=")</f>
        <v>#VALUE!</v>
      </c>
      <c r="FH2" t="e">
        <f>AND(List1!D31,"AAAAAH7wfaM=")</f>
        <v>#VALUE!</v>
      </c>
      <c r="FI2" t="e">
        <f>AND(List1!E31,"AAAAAH7wfaQ=")</f>
        <v>#VALUE!</v>
      </c>
      <c r="FJ2" t="e">
        <f>AND(List1!F31,"AAAAAH7wfaU=")</f>
        <v>#VALUE!</v>
      </c>
      <c r="FK2">
        <f>IF(List1!32:32,"AAAAAH7wfaY=",0)</f>
        <v>0</v>
      </c>
      <c r="FL2" t="e">
        <f>AND(List1!A32,"AAAAAH7wfac=")</f>
        <v>#VALUE!</v>
      </c>
      <c r="FM2" t="e">
        <f>AND(List1!B32,"AAAAAH7wfag=")</f>
        <v>#VALUE!</v>
      </c>
      <c r="FN2" t="e">
        <f>AND(List1!C32,"AAAAAH7wfak=")</f>
        <v>#VALUE!</v>
      </c>
      <c r="FO2" t="e">
        <f>AND(List1!D32,"AAAAAH7wfao=")</f>
        <v>#VALUE!</v>
      </c>
      <c r="FP2" t="e">
        <f>AND(List1!E32,"AAAAAH7wfas=")</f>
        <v>#VALUE!</v>
      </c>
      <c r="FQ2" t="e">
        <f>AND(List1!F32,"AAAAAH7wfaw=")</f>
        <v>#VALUE!</v>
      </c>
      <c r="FR2">
        <f>IF(List1!33:33,"AAAAAH7wfa0=",0)</f>
        <v>0</v>
      </c>
      <c r="FS2" t="e">
        <f>AND(List1!A33,"AAAAAH7wfa4=")</f>
        <v>#VALUE!</v>
      </c>
      <c r="FT2" t="e">
        <f>AND(List1!B33,"AAAAAH7wfa8=")</f>
        <v>#VALUE!</v>
      </c>
      <c r="FU2" t="e">
        <f>AND(List1!C33,"AAAAAH7wfbA=")</f>
        <v>#VALUE!</v>
      </c>
      <c r="FV2" t="e">
        <f>AND(List1!D33,"AAAAAH7wfbE=")</f>
        <v>#VALUE!</v>
      </c>
      <c r="FW2" t="e">
        <f>AND(List1!E33,"AAAAAH7wfbI=")</f>
        <v>#VALUE!</v>
      </c>
      <c r="FX2" t="e">
        <f>AND(List1!F33,"AAAAAH7wfbM=")</f>
        <v>#VALUE!</v>
      </c>
      <c r="FY2">
        <f>IF(List1!34:34,"AAAAAH7wfbQ=",0)</f>
        <v>0</v>
      </c>
      <c r="FZ2" t="e">
        <f>AND(List1!A34,"AAAAAH7wfbU=")</f>
        <v>#VALUE!</v>
      </c>
      <c r="GA2" t="e">
        <f>AND(List1!B34,"AAAAAH7wfbY=")</f>
        <v>#VALUE!</v>
      </c>
      <c r="GB2" t="e">
        <f>AND(List1!C34,"AAAAAH7wfbc=")</f>
        <v>#VALUE!</v>
      </c>
      <c r="GC2" t="e">
        <f>AND(List1!D34,"AAAAAH7wfbg=")</f>
        <v>#VALUE!</v>
      </c>
      <c r="GD2" t="e">
        <f>AND(List1!E34,"AAAAAH7wfbk=")</f>
        <v>#VALUE!</v>
      </c>
      <c r="GE2" t="e">
        <f>AND(List1!F34,"AAAAAH7wfbo=")</f>
        <v>#VALUE!</v>
      </c>
      <c r="GF2">
        <f>IF(List1!35:35,"AAAAAH7wfbs=",0)</f>
        <v>0</v>
      </c>
      <c r="GG2" t="e">
        <f>AND(List1!A35,"AAAAAH7wfbw=")</f>
        <v>#VALUE!</v>
      </c>
      <c r="GH2" t="e">
        <f>AND(List1!B35,"AAAAAH7wfb0=")</f>
        <v>#VALUE!</v>
      </c>
      <c r="GI2" t="e">
        <f>AND(List1!C35,"AAAAAH7wfb4=")</f>
        <v>#VALUE!</v>
      </c>
      <c r="GJ2" t="e">
        <f>AND(List1!D35,"AAAAAH7wfb8=")</f>
        <v>#VALUE!</v>
      </c>
      <c r="GK2" t="e">
        <f>AND(List1!E35,"AAAAAH7wfcA=")</f>
        <v>#VALUE!</v>
      </c>
      <c r="GL2" t="e">
        <f>AND(List1!F35,"AAAAAH7wfcE=")</f>
        <v>#VALUE!</v>
      </c>
      <c r="GM2">
        <f>IF(List1!36:36,"AAAAAH7wfcI=",0)</f>
        <v>0</v>
      </c>
      <c r="GN2" t="e">
        <f>AND(List1!A36,"AAAAAH7wfcM=")</f>
        <v>#VALUE!</v>
      </c>
      <c r="GO2" t="e">
        <f>AND(List1!B36,"AAAAAH7wfcQ=")</f>
        <v>#VALUE!</v>
      </c>
      <c r="GP2" t="e">
        <f>AND(List1!C36,"AAAAAH7wfcU=")</f>
        <v>#VALUE!</v>
      </c>
      <c r="GQ2" t="e">
        <f>AND(List1!D36,"AAAAAH7wfcY=")</f>
        <v>#VALUE!</v>
      </c>
      <c r="GR2" t="e">
        <f>AND(List1!E36,"AAAAAH7wfcc=")</f>
        <v>#VALUE!</v>
      </c>
      <c r="GS2" t="e">
        <f>AND(List1!F36,"AAAAAH7wfcg=")</f>
        <v>#VALUE!</v>
      </c>
      <c r="GT2">
        <f>IF(List1!37:37,"AAAAAH7wfck=",0)</f>
        <v>0</v>
      </c>
      <c r="GU2" t="e">
        <f>AND(List1!A37,"AAAAAH7wfco=")</f>
        <v>#VALUE!</v>
      </c>
      <c r="GV2" t="e">
        <f>AND(List1!B37,"AAAAAH7wfcs=")</f>
        <v>#VALUE!</v>
      </c>
      <c r="GW2" t="e">
        <f>AND(List1!C37,"AAAAAH7wfcw=")</f>
        <v>#VALUE!</v>
      </c>
      <c r="GX2" t="e">
        <f>AND(List1!D37,"AAAAAH7wfc0=")</f>
        <v>#VALUE!</v>
      </c>
      <c r="GY2" t="e">
        <f>AND(List1!E37,"AAAAAH7wfc4=")</f>
        <v>#VALUE!</v>
      </c>
      <c r="GZ2" t="e">
        <f>AND(List1!F37,"AAAAAH7wfc8=")</f>
        <v>#VALUE!</v>
      </c>
      <c r="HA2">
        <f>IF(List1!38:38,"AAAAAH7wfdA=",0)</f>
        <v>0</v>
      </c>
      <c r="HB2" t="e">
        <f>AND(List1!A38,"AAAAAH7wfdE=")</f>
        <v>#VALUE!</v>
      </c>
      <c r="HC2" t="e">
        <f>AND(List1!B38,"AAAAAH7wfdI=")</f>
        <v>#VALUE!</v>
      </c>
      <c r="HD2" t="e">
        <f>AND(List1!C38,"AAAAAH7wfdM=")</f>
        <v>#VALUE!</v>
      </c>
      <c r="HE2" t="e">
        <f>AND(List1!D38,"AAAAAH7wfdQ=")</f>
        <v>#VALUE!</v>
      </c>
      <c r="HF2" t="e">
        <f>AND(List1!E38,"AAAAAH7wfdU=")</f>
        <v>#VALUE!</v>
      </c>
      <c r="HG2" t="e">
        <f>AND(List1!F38,"AAAAAH7wfdY=")</f>
        <v>#VALUE!</v>
      </c>
      <c r="HH2">
        <f>IF(List1!39:39,"AAAAAH7wfdc=",0)</f>
        <v>0</v>
      </c>
      <c r="HI2" t="e">
        <f>AND(List1!A39,"AAAAAH7wfdg=")</f>
        <v>#VALUE!</v>
      </c>
      <c r="HJ2" t="e">
        <f>AND(List1!B39,"AAAAAH7wfdk=")</f>
        <v>#VALUE!</v>
      </c>
      <c r="HK2" t="e">
        <f>AND(List1!C39,"AAAAAH7wfdo=")</f>
        <v>#VALUE!</v>
      </c>
      <c r="HL2" t="e">
        <f>AND(List1!D39,"AAAAAH7wfds=")</f>
        <v>#VALUE!</v>
      </c>
      <c r="HM2" t="e">
        <f>AND(List1!E39,"AAAAAH7wfdw=")</f>
        <v>#VALUE!</v>
      </c>
      <c r="HN2" t="e">
        <f>AND(List1!F39,"AAAAAH7wfd0=")</f>
        <v>#VALUE!</v>
      </c>
      <c r="HO2">
        <f>IF(List1!40:40,"AAAAAH7wfd4=",0)</f>
        <v>0</v>
      </c>
      <c r="HP2" t="e">
        <f>AND(List1!A40,"AAAAAH7wfd8=")</f>
        <v>#VALUE!</v>
      </c>
      <c r="HQ2" t="e">
        <f>AND(List1!B40,"AAAAAH7wfeA=")</f>
        <v>#VALUE!</v>
      </c>
      <c r="HR2" t="e">
        <f>AND(List1!C40,"AAAAAH7wfeE=")</f>
        <v>#VALUE!</v>
      </c>
      <c r="HS2" t="e">
        <f>AND(List1!D40,"AAAAAH7wfeI=")</f>
        <v>#VALUE!</v>
      </c>
      <c r="HT2" t="e">
        <f>AND(List1!E40,"AAAAAH7wfeM=")</f>
        <v>#VALUE!</v>
      </c>
      <c r="HU2" t="e">
        <f>AND(List1!F40,"AAAAAH7wfeQ=")</f>
        <v>#VALUE!</v>
      </c>
      <c r="HV2">
        <f>IF(List1!41:41,"AAAAAH7wfeU=",0)</f>
        <v>0</v>
      </c>
      <c r="HW2" t="e">
        <f>AND(List1!A41,"AAAAAH7wfeY=")</f>
        <v>#VALUE!</v>
      </c>
      <c r="HX2" t="e">
        <f>AND(List1!B41,"AAAAAH7wfec=")</f>
        <v>#VALUE!</v>
      </c>
      <c r="HY2" t="e">
        <f>AND(List1!C41,"AAAAAH7wfeg=")</f>
        <v>#VALUE!</v>
      </c>
      <c r="HZ2" t="e">
        <f>AND(List1!D41,"AAAAAH7wfek=")</f>
        <v>#VALUE!</v>
      </c>
      <c r="IA2" t="e">
        <f>AND(List1!E41,"AAAAAH7wfeo=")</f>
        <v>#VALUE!</v>
      </c>
      <c r="IB2" t="e">
        <f>AND(List1!F41,"AAAAAH7wfes=")</f>
        <v>#VALUE!</v>
      </c>
      <c r="IC2">
        <f>IF(List1!42:42,"AAAAAH7wfew=",0)</f>
        <v>0</v>
      </c>
      <c r="ID2" t="e">
        <f>AND(List1!A42,"AAAAAH7wfe0=")</f>
        <v>#VALUE!</v>
      </c>
      <c r="IE2" t="e">
        <f>AND(List1!B42,"AAAAAH7wfe4=")</f>
        <v>#VALUE!</v>
      </c>
      <c r="IF2" t="e">
        <f>AND(List1!C42,"AAAAAH7wfe8=")</f>
        <v>#VALUE!</v>
      </c>
      <c r="IG2" t="e">
        <f>AND(List1!D42,"AAAAAH7wffA=")</f>
        <v>#VALUE!</v>
      </c>
      <c r="IH2" t="e">
        <f>AND(List1!E42,"AAAAAH7wffE=")</f>
        <v>#VALUE!</v>
      </c>
      <c r="II2" t="e">
        <f>AND(List1!F42,"AAAAAH7wffI=")</f>
        <v>#VALUE!</v>
      </c>
      <c r="IJ2">
        <f>IF(List1!48:48,"AAAAAH7wffM=",0)</f>
        <v>0</v>
      </c>
      <c r="IK2" t="e">
        <f>AND(List1!A47,"AAAAAH7wffQ=")</f>
        <v>#VALUE!</v>
      </c>
      <c r="IL2" t="e">
        <f>AND(List1!B48,"AAAAAH7wffU=")</f>
        <v>#VALUE!</v>
      </c>
      <c r="IM2" t="e">
        <f>AND(List1!C48,"AAAAAH7wffY=")</f>
        <v>#VALUE!</v>
      </c>
      <c r="IN2" t="e">
        <f>AND(List1!D48,"AAAAAH7wffc=")</f>
        <v>#VALUE!</v>
      </c>
      <c r="IO2" t="e">
        <f>AND(List1!E48,"AAAAAH7wffg=")</f>
        <v>#VALUE!</v>
      </c>
      <c r="IP2" t="e">
        <f>AND(List1!F48,"AAAAAH7wffk=")</f>
        <v>#VALUE!</v>
      </c>
      <c r="IQ2">
        <f>IF(List1!49:49,"AAAAAH7wffo=",0)</f>
        <v>0</v>
      </c>
      <c r="IR2" t="e">
        <f>AND(List1!A49,"AAAAAH7wffs=")</f>
        <v>#VALUE!</v>
      </c>
      <c r="IS2" t="e">
        <f>AND(List1!B49,"AAAAAH7wffw=")</f>
        <v>#VALUE!</v>
      </c>
      <c r="IT2" t="e">
        <f>AND(List1!C49,"AAAAAH7wff0=")</f>
        <v>#VALUE!</v>
      </c>
      <c r="IU2" t="e">
        <f>AND(List1!D49,"AAAAAH7wff4=")</f>
        <v>#VALUE!</v>
      </c>
      <c r="IV2" t="e">
        <f>AND(List1!E49,"AAAAAH7wff8=")</f>
        <v>#VALUE!</v>
      </c>
    </row>
    <row r="3" spans="1:256">
      <c r="A3" t="e">
        <f>AND(List1!F49,"AAAAAF9pswA=")</f>
        <v>#VALUE!</v>
      </c>
      <c r="B3" t="e">
        <f>IF(List1!50:50,"AAAAAF9pswE=",0)</f>
        <v>#VALUE!</v>
      </c>
      <c r="C3" t="e">
        <f>AND(List1!A50,"AAAAAF9pswI=")</f>
        <v>#VALUE!</v>
      </c>
      <c r="D3" t="e">
        <f>AND(List1!B50,"AAAAAF9pswM=")</f>
        <v>#VALUE!</v>
      </c>
      <c r="E3" t="e">
        <f>AND(List1!C50,"AAAAAF9pswQ=")</f>
        <v>#VALUE!</v>
      </c>
      <c r="F3" t="e">
        <f>AND(List1!D50,"AAAAAF9pswU=")</f>
        <v>#VALUE!</v>
      </c>
      <c r="G3" t="e">
        <f>AND(List1!E50,"AAAAAF9pswY=")</f>
        <v>#VALUE!</v>
      </c>
      <c r="H3" t="e">
        <f>AND(List1!F50,"AAAAAF9pswc=")</f>
        <v>#VALUE!</v>
      </c>
      <c r="I3">
        <f>IF(List1!51:51,"AAAAAF9pswg=",0)</f>
        <v>0</v>
      </c>
      <c r="J3" t="e">
        <f>AND(List1!A51,"AAAAAF9pswk=")</f>
        <v>#VALUE!</v>
      </c>
      <c r="K3" t="e">
        <f>AND(List1!B51,"AAAAAF9pswo=")</f>
        <v>#VALUE!</v>
      </c>
      <c r="L3" t="e">
        <f>AND(List1!C51,"AAAAAF9psws=")</f>
        <v>#VALUE!</v>
      </c>
      <c r="M3" t="e">
        <f>AND(List1!D51,"AAAAAF9psww=")</f>
        <v>#VALUE!</v>
      </c>
      <c r="N3" t="e">
        <f>AND(List1!E51,"AAAAAF9psw0=")</f>
        <v>#VALUE!</v>
      </c>
      <c r="O3" t="e">
        <f>AND(List1!F51,"AAAAAF9psw4=")</f>
        <v>#VALUE!</v>
      </c>
      <c r="P3">
        <f>IF(List1!52:52,"AAAAAF9psw8=",0)</f>
        <v>0</v>
      </c>
      <c r="Q3" t="e">
        <f>AND(List1!A52,"AAAAAF9psxA=")</f>
        <v>#VALUE!</v>
      </c>
      <c r="R3" t="e">
        <f>AND(List1!B52,"AAAAAF9psxE=")</f>
        <v>#VALUE!</v>
      </c>
      <c r="S3" t="e">
        <f>AND(List1!C52,"AAAAAF9psxI=")</f>
        <v>#VALUE!</v>
      </c>
      <c r="T3" t="e">
        <f>AND(List1!D52,"AAAAAF9psxM=")</f>
        <v>#VALUE!</v>
      </c>
      <c r="U3" t="e">
        <f>AND(List1!E52,"AAAAAF9psxQ=")</f>
        <v>#VALUE!</v>
      </c>
      <c r="V3" t="e">
        <f>AND(List1!F52,"AAAAAF9psxU=")</f>
        <v>#VALUE!</v>
      </c>
      <c r="W3">
        <f>IF(List1!53:53,"AAAAAF9psxY=",0)</f>
        <v>0</v>
      </c>
      <c r="X3" t="e">
        <f>AND(List1!A53,"AAAAAF9psxc=")</f>
        <v>#VALUE!</v>
      </c>
      <c r="Y3" t="e">
        <f>AND(List1!B53,"AAAAAF9psxg=")</f>
        <v>#VALUE!</v>
      </c>
      <c r="Z3" t="e">
        <f>AND(List1!C53,"AAAAAF9psxk=")</f>
        <v>#VALUE!</v>
      </c>
      <c r="AA3" t="e">
        <f>AND(List1!D53,"AAAAAF9psxo=")</f>
        <v>#VALUE!</v>
      </c>
      <c r="AB3" t="e">
        <f>AND(List1!E53,"AAAAAF9psxs=")</f>
        <v>#VALUE!</v>
      </c>
      <c r="AC3" t="e">
        <f>AND(List1!F53,"AAAAAF9psxw=")</f>
        <v>#VALUE!</v>
      </c>
      <c r="AD3">
        <f>IF(List1!54:54,"AAAAAF9psx0=",0)</f>
        <v>0</v>
      </c>
      <c r="AE3" t="e">
        <f>AND(List1!A54,"AAAAAF9psx4=")</f>
        <v>#VALUE!</v>
      </c>
      <c r="AF3" t="e">
        <f>AND(List1!B54,"AAAAAF9psx8=")</f>
        <v>#VALUE!</v>
      </c>
      <c r="AG3" t="e">
        <f>AND(List1!C54,"AAAAAF9psyA=")</f>
        <v>#VALUE!</v>
      </c>
      <c r="AH3" t="e">
        <f>AND(List1!D54,"AAAAAF9psyE=")</f>
        <v>#VALUE!</v>
      </c>
      <c r="AI3" t="e">
        <f>AND(List1!E54,"AAAAAF9psyI=")</f>
        <v>#VALUE!</v>
      </c>
      <c r="AJ3" t="e">
        <f>AND(List1!F54,"AAAAAF9psyM=")</f>
        <v>#VALUE!</v>
      </c>
      <c r="AK3">
        <f>IF(List1!61:61,"AAAAAF9psyQ=",0)</f>
        <v>0</v>
      </c>
      <c r="AL3" t="e">
        <f>AND(List1!A61,"AAAAAF9psyU=")</f>
        <v>#VALUE!</v>
      </c>
      <c r="AM3" t="e">
        <f>AND(List1!B61,"AAAAAF9psyY=")</f>
        <v>#VALUE!</v>
      </c>
      <c r="AN3" t="e">
        <f>AND(List1!C61,"AAAAAF9psyc=")</f>
        <v>#VALUE!</v>
      </c>
      <c r="AO3" t="e">
        <f>AND(List1!D61,"AAAAAF9psyg=")</f>
        <v>#VALUE!</v>
      </c>
      <c r="AP3" t="e">
        <f>AND(List1!E61,"AAAAAF9psyk=")</f>
        <v>#VALUE!</v>
      </c>
      <c r="AQ3" t="e">
        <f>AND(List1!F61,"AAAAAF9psyo=")</f>
        <v>#VALUE!</v>
      </c>
      <c r="AR3">
        <f>IF(List1!62:62,"AAAAAF9psys=",0)</f>
        <v>0</v>
      </c>
      <c r="AS3" t="e">
        <f>AND(List1!A62,"AAAAAF9psyw=")</f>
        <v>#VALUE!</v>
      </c>
      <c r="AT3" t="e">
        <f>AND(List1!B62,"AAAAAF9psy0=")</f>
        <v>#VALUE!</v>
      </c>
      <c r="AU3" t="e">
        <f>AND(List1!C62,"AAAAAF9psy4=")</f>
        <v>#VALUE!</v>
      </c>
      <c r="AV3" t="e">
        <f>AND(List1!D62,"AAAAAF9psy8=")</f>
        <v>#VALUE!</v>
      </c>
      <c r="AW3" t="e">
        <f>AND(List1!E62,"AAAAAF9pszA=")</f>
        <v>#VALUE!</v>
      </c>
      <c r="AX3" t="e">
        <f>AND(List1!F62,"AAAAAF9pszE=")</f>
        <v>#VALUE!</v>
      </c>
      <c r="AY3">
        <f>IF(List1!63:63,"AAAAAF9pszI=",0)</f>
        <v>0</v>
      </c>
      <c r="AZ3" t="e">
        <f>AND(List1!A63,"AAAAAF9pszM=")</f>
        <v>#VALUE!</v>
      </c>
      <c r="BA3" t="e">
        <f>AND(List1!B63,"AAAAAF9pszQ=")</f>
        <v>#VALUE!</v>
      </c>
      <c r="BB3" t="e">
        <f>AND(List1!C63,"AAAAAF9pszU=")</f>
        <v>#VALUE!</v>
      </c>
      <c r="BC3" t="e">
        <f>AND(List1!D63,"AAAAAF9pszY=")</f>
        <v>#VALUE!</v>
      </c>
      <c r="BD3" t="e">
        <f>AND(List1!E63,"AAAAAF9pszc=")</f>
        <v>#VALUE!</v>
      </c>
      <c r="BE3" t="e">
        <f>AND(List1!F63,"AAAAAF9pszg=")</f>
        <v>#VALUE!</v>
      </c>
      <c r="BF3">
        <f>IF(List1!64:64,"AAAAAF9pszk=",0)</f>
        <v>0</v>
      </c>
      <c r="BG3" t="e">
        <f>AND(List1!A64,"AAAAAF9pszo=")</f>
        <v>#VALUE!</v>
      </c>
      <c r="BH3" t="e">
        <f>AND(List1!B64,"AAAAAF9pszs=")</f>
        <v>#VALUE!</v>
      </c>
      <c r="BI3" t="e">
        <f>AND(List1!C64,"AAAAAF9pszw=")</f>
        <v>#VALUE!</v>
      </c>
      <c r="BJ3" t="e">
        <f>AND(List1!D64,"AAAAAF9psz0=")</f>
        <v>#VALUE!</v>
      </c>
      <c r="BK3" t="e">
        <f>AND(List1!E64,"AAAAAF9psz4=")</f>
        <v>#VALUE!</v>
      </c>
      <c r="BL3" t="e">
        <f>AND(List1!F64,"AAAAAF9psz8=")</f>
        <v>#VALUE!</v>
      </c>
      <c r="BM3">
        <f>IF(List1!65:65,"AAAAAF9ps0A=",0)</f>
        <v>0</v>
      </c>
      <c r="BN3" t="e">
        <f>AND(List1!A65,"AAAAAF9ps0E=")</f>
        <v>#VALUE!</v>
      </c>
      <c r="BO3" t="e">
        <f>AND(List1!B65,"AAAAAF9ps0I=")</f>
        <v>#VALUE!</v>
      </c>
      <c r="BP3" t="e">
        <f>AND(List1!C65,"AAAAAF9ps0M=")</f>
        <v>#VALUE!</v>
      </c>
      <c r="BQ3" t="e">
        <f>AND(List1!D65,"AAAAAF9ps0Q=")</f>
        <v>#VALUE!</v>
      </c>
      <c r="BR3" t="e">
        <f>AND(List1!E65,"AAAAAF9ps0U=")</f>
        <v>#VALUE!</v>
      </c>
      <c r="BS3" t="e">
        <f>AND(List1!F65,"AAAAAF9ps0Y=")</f>
        <v>#VALUE!</v>
      </c>
      <c r="BT3">
        <f>IF(List1!66:66,"AAAAAF9ps0c=",0)</f>
        <v>0</v>
      </c>
      <c r="BU3" t="e">
        <f>AND(List1!A66,"AAAAAF9ps0g=")</f>
        <v>#VALUE!</v>
      </c>
      <c r="BV3" t="e">
        <f>AND(List1!B66,"AAAAAF9ps0k=")</f>
        <v>#VALUE!</v>
      </c>
      <c r="BW3" t="e">
        <f>AND(List1!C66,"AAAAAF9ps0o=")</f>
        <v>#VALUE!</v>
      </c>
      <c r="BX3" t="e">
        <f>AND(List1!D66,"AAAAAF9ps0s=")</f>
        <v>#VALUE!</v>
      </c>
      <c r="BY3" t="e">
        <f>AND(List1!E66,"AAAAAF9ps0w=")</f>
        <v>#VALUE!</v>
      </c>
      <c r="BZ3" t="e">
        <f>AND(List1!F66,"AAAAAF9ps00=")</f>
        <v>#VALUE!</v>
      </c>
      <c r="CA3">
        <f>IF(List1!67:67,"AAAAAF9ps04=",0)</f>
        <v>0</v>
      </c>
      <c r="CB3" t="e">
        <f>AND(List1!A67,"AAAAAF9ps08=")</f>
        <v>#VALUE!</v>
      </c>
      <c r="CC3" t="e">
        <f>AND(List1!B67,"AAAAAF9ps1A=")</f>
        <v>#VALUE!</v>
      </c>
      <c r="CD3" t="e">
        <f>AND(List1!C67,"AAAAAF9ps1E=")</f>
        <v>#VALUE!</v>
      </c>
      <c r="CE3" t="e">
        <f>AND(List1!D67,"AAAAAF9ps1I=")</f>
        <v>#VALUE!</v>
      </c>
      <c r="CF3" t="e">
        <f>AND(List1!E67,"AAAAAF9ps1M=")</f>
        <v>#VALUE!</v>
      </c>
      <c r="CG3" t="e">
        <f>AND(List1!F67,"AAAAAF9ps1Q=")</f>
        <v>#VALUE!</v>
      </c>
      <c r="CH3">
        <f>IF(List1!68:68,"AAAAAF9ps1U=",0)</f>
        <v>0</v>
      </c>
      <c r="CI3" t="e">
        <f>AND(List1!A68,"AAAAAF9ps1Y=")</f>
        <v>#VALUE!</v>
      </c>
      <c r="CJ3" t="e">
        <f>AND(List1!B68,"AAAAAF9ps1c=")</f>
        <v>#VALUE!</v>
      </c>
      <c r="CK3" t="e">
        <f>AND(List1!C68,"AAAAAF9ps1g=")</f>
        <v>#VALUE!</v>
      </c>
      <c r="CL3" t="e">
        <f>AND(List1!D68,"AAAAAF9ps1k=")</f>
        <v>#VALUE!</v>
      </c>
      <c r="CM3" t="e">
        <f>AND(List1!E68,"AAAAAF9ps1o=")</f>
        <v>#VALUE!</v>
      </c>
      <c r="CN3" t="e">
        <f>AND(List1!F68,"AAAAAF9ps1s=")</f>
        <v>#VALUE!</v>
      </c>
      <c r="CO3">
        <f>IF(List1!69:69,"AAAAAF9ps1w=",0)</f>
        <v>0</v>
      </c>
      <c r="CP3" t="e">
        <f>AND(List1!A69,"AAAAAF9ps10=")</f>
        <v>#VALUE!</v>
      </c>
      <c r="CQ3" t="e">
        <f>AND(List1!B69,"AAAAAF9ps14=")</f>
        <v>#VALUE!</v>
      </c>
      <c r="CR3" t="e">
        <f>AND(List1!C69,"AAAAAF9ps18=")</f>
        <v>#VALUE!</v>
      </c>
      <c r="CS3" t="e">
        <f>AND(List1!D69,"AAAAAF9ps2A=")</f>
        <v>#VALUE!</v>
      </c>
      <c r="CT3" t="e">
        <f>AND(List1!E69,"AAAAAF9ps2E=")</f>
        <v>#VALUE!</v>
      </c>
      <c r="CU3" t="e">
        <f>AND(List1!F69,"AAAAAF9ps2I=")</f>
        <v>#VALUE!</v>
      </c>
      <c r="CV3">
        <f>IF(List1!70:70,"AAAAAF9ps2M=",0)</f>
        <v>0</v>
      </c>
      <c r="CW3" t="e">
        <f>AND(List1!A70,"AAAAAF9ps2Q=")</f>
        <v>#VALUE!</v>
      </c>
      <c r="CX3" t="e">
        <f>AND(List1!B70,"AAAAAF9ps2U=")</f>
        <v>#VALUE!</v>
      </c>
      <c r="CY3" t="e">
        <f>AND(List1!C70,"AAAAAF9ps2Y=")</f>
        <v>#VALUE!</v>
      </c>
      <c r="CZ3" t="e">
        <f>AND(List1!D70,"AAAAAF9ps2c=")</f>
        <v>#VALUE!</v>
      </c>
      <c r="DA3" t="e">
        <f>AND(List1!E70,"AAAAAF9ps2g=")</f>
        <v>#VALUE!</v>
      </c>
      <c r="DB3" t="e">
        <f>AND(List1!F70,"AAAAAF9ps2k=")</f>
        <v>#VALUE!</v>
      </c>
      <c r="DC3">
        <f>IF(List1!71:71,"AAAAAF9ps2o=",0)</f>
        <v>0</v>
      </c>
      <c r="DD3" t="e">
        <f>AND(List1!A71,"AAAAAF9ps2s=")</f>
        <v>#VALUE!</v>
      </c>
      <c r="DE3" t="e">
        <f>AND(List1!B71,"AAAAAF9ps2w=")</f>
        <v>#VALUE!</v>
      </c>
      <c r="DF3" t="e">
        <f>AND(List1!C71,"AAAAAF9ps20=")</f>
        <v>#VALUE!</v>
      </c>
      <c r="DG3" t="e">
        <f>AND(List1!D71,"AAAAAF9ps24=")</f>
        <v>#VALUE!</v>
      </c>
      <c r="DH3" t="e">
        <f>AND(List1!E71,"AAAAAF9ps28=")</f>
        <v>#VALUE!</v>
      </c>
      <c r="DI3" t="e">
        <f>AND(List1!F71,"AAAAAF9ps3A=")</f>
        <v>#VALUE!</v>
      </c>
      <c r="DJ3">
        <f>IF(List1!72:72,"AAAAAF9ps3E=",0)</f>
        <v>0</v>
      </c>
      <c r="DK3" t="e">
        <f>AND(List1!A72,"AAAAAF9ps3I=")</f>
        <v>#VALUE!</v>
      </c>
      <c r="DL3" t="e">
        <f>AND(List1!B72,"AAAAAF9ps3M=")</f>
        <v>#VALUE!</v>
      </c>
      <c r="DM3" t="e">
        <f>AND(List1!C72,"AAAAAF9ps3Q=")</f>
        <v>#VALUE!</v>
      </c>
      <c r="DN3" t="e">
        <f>AND(List1!D72,"AAAAAF9ps3U=")</f>
        <v>#VALUE!</v>
      </c>
      <c r="DO3" t="e">
        <f>AND(List1!E72,"AAAAAF9ps3Y=")</f>
        <v>#VALUE!</v>
      </c>
      <c r="DP3" t="e">
        <f>AND(List1!F72,"AAAAAF9ps3c=")</f>
        <v>#VALUE!</v>
      </c>
      <c r="DQ3" t="e">
        <f>IF(List1!#REF!,"AAAAAF9ps3g=",0)</f>
        <v>#REF!</v>
      </c>
      <c r="DR3" t="e">
        <f>AND(List1!#REF!,"AAAAAF9ps3k=")</f>
        <v>#REF!</v>
      </c>
      <c r="DS3" t="e">
        <f>AND(List1!#REF!,"AAAAAF9ps3o=")</f>
        <v>#REF!</v>
      </c>
      <c r="DT3" t="e">
        <f>AND(List1!#REF!,"AAAAAF9ps3s=")</f>
        <v>#REF!</v>
      </c>
      <c r="DU3" t="e">
        <f>AND(List1!#REF!,"AAAAAF9ps3w=")</f>
        <v>#REF!</v>
      </c>
      <c r="DV3" t="e">
        <f>AND(List1!#REF!,"AAAAAF9ps30=")</f>
        <v>#REF!</v>
      </c>
      <c r="DW3" t="e">
        <f>AND(List1!#REF!,"AAAAAF9ps34=")</f>
        <v>#REF!</v>
      </c>
      <c r="DX3" t="e">
        <f>IF(List1!#REF!,"AAAAAF9ps38=",0)</f>
        <v>#REF!</v>
      </c>
      <c r="DY3" t="e">
        <f>AND(List1!#REF!,"AAAAAF9ps4A=")</f>
        <v>#REF!</v>
      </c>
      <c r="DZ3" t="e">
        <f>AND(List1!#REF!,"AAAAAF9ps4E=")</f>
        <v>#REF!</v>
      </c>
      <c r="EA3" t="e">
        <f>AND(List1!#REF!,"AAAAAF9ps4I=")</f>
        <v>#REF!</v>
      </c>
      <c r="EB3" t="e">
        <f>AND(List1!#REF!,"AAAAAF9ps4M=")</f>
        <v>#REF!</v>
      </c>
      <c r="EC3" t="e">
        <f>AND(List1!#REF!,"AAAAAF9ps4Q=")</f>
        <v>#REF!</v>
      </c>
      <c r="ED3" t="e">
        <f>AND(List1!#REF!,"AAAAAF9ps4U=")</f>
        <v>#REF!</v>
      </c>
      <c r="EE3">
        <f>IF(List1!74:74,"AAAAAF9ps4Y=",0)</f>
        <v>0</v>
      </c>
      <c r="EF3" t="e">
        <f>AND(List1!#REF!,"AAAAAF9ps4c=")</f>
        <v>#REF!</v>
      </c>
      <c r="EG3" t="e">
        <f>AND(List1!#REF!,"AAAAAF9ps4g=")</f>
        <v>#REF!</v>
      </c>
      <c r="EH3" t="e">
        <f>AND(List1!#REF!,"AAAAAF9ps4k=")</f>
        <v>#REF!</v>
      </c>
      <c r="EI3" t="e">
        <f>AND(List1!#REF!,"AAAAAF9ps4o=")</f>
        <v>#REF!</v>
      </c>
      <c r="EJ3" t="e">
        <f>AND(List1!#REF!,"AAAAAF9ps4s=")</f>
        <v>#REF!</v>
      </c>
      <c r="EK3" t="e">
        <f>AND(List1!F74,"AAAAAF9ps4w=")</f>
        <v>#VALUE!</v>
      </c>
      <c r="EL3">
        <f>IF(List1!78:78,"AAAAAF9ps40=",0)</f>
        <v>0</v>
      </c>
      <c r="EM3" t="e">
        <f>AND(List1!A78,"AAAAAF9ps44=")</f>
        <v>#VALUE!</v>
      </c>
      <c r="EN3" t="e">
        <f>AND(List1!B78,"AAAAAF9ps48=")</f>
        <v>#VALUE!</v>
      </c>
      <c r="EO3" t="e">
        <f>AND(List1!C78,"AAAAAF9ps5A=")</f>
        <v>#VALUE!</v>
      </c>
      <c r="EP3" t="e">
        <f>AND(List1!D78,"AAAAAF9ps5E=")</f>
        <v>#VALUE!</v>
      </c>
      <c r="EQ3" t="e">
        <f>AND(List1!E78,"AAAAAF9ps5I=")</f>
        <v>#VALUE!</v>
      </c>
      <c r="ER3" t="e">
        <f>AND(List1!F78,"AAAAAF9ps5M=")</f>
        <v>#VALUE!</v>
      </c>
      <c r="ES3">
        <f>IF(List1!79:79,"AAAAAF9ps5Q=",0)</f>
        <v>0</v>
      </c>
      <c r="ET3" t="e">
        <f>AND(List1!A79,"AAAAAF9ps5U=")</f>
        <v>#VALUE!</v>
      </c>
      <c r="EU3" t="e">
        <f>AND(List1!B79,"AAAAAF9ps5Y=")</f>
        <v>#VALUE!</v>
      </c>
      <c r="EV3" t="e">
        <f>AND(List1!C79,"AAAAAF9ps5c=")</f>
        <v>#VALUE!</v>
      </c>
      <c r="EW3" t="e">
        <f>AND(List1!D79,"AAAAAF9ps5g=")</f>
        <v>#VALUE!</v>
      </c>
      <c r="EX3" t="e">
        <f>AND(List1!E79,"AAAAAF9ps5k=")</f>
        <v>#VALUE!</v>
      </c>
      <c r="EY3" t="e">
        <f>AND(List1!F79,"AAAAAF9ps5o=")</f>
        <v>#VALUE!</v>
      </c>
      <c r="EZ3">
        <f>IF(List1!80:80,"AAAAAF9ps5s=",0)</f>
        <v>0</v>
      </c>
      <c r="FA3" t="e">
        <f>AND(List1!A80,"AAAAAF9ps5w=")</f>
        <v>#VALUE!</v>
      </c>
      <c r="FB3" t="e">
        <f>AND(List1!B80,"AAAAAF9ps50=")</f>
        <v>#VALUE!</v>
      </c>
      <c r="FC3" t="e">
        <f>AND(List1!C80,"AAAAAF9ps54=")</f>
        <v>#VALUE!</v>
      </c>
      <c r="FD3" t="e">
        <f>AND(List1!D80,"AAAAAF9ps58=")</f>
        <v>#VALUE!</v>
      </c>
      <c r="FE3" t="e">
        <f>AND(List1!E80,"AAAAAF9ps6A=")</f>
        <v>#VALUE!</v>
      </c>
      <c r="FF3" t="e">
        <f>AND(List1!F80,"AAAAAF9ps6E=")</f>
        <v>#VALUE!</v>
      </c>
      <c r="FG3">
        <f>IF(List1!81:81,"AAAAAF9ps6I=",0)</f>
        <v>0</v>
      </c>
      <c r="FH3" t="e">
        <f>AND(List1!A81,"AAAAAF9ps6M=")</f>
        <v>#VALUE!</v>
      </c>
      <c r="FI3" t="e">
        <f>AND(List1!B81,"AAAAAF9ps6Q=")</f>
        <v>#VALUE!</v>
      </c>
      <c r="FJ3" t="e">
        <f>AND(List1!C81,"AAAAAF9ps6U=")</f>
        <v>#VALUE!</v>
      </c>
      <c r="FK3" t="e">
        <f>AND(List1!D81,"AAAAAF9ps6Y=")</f>
        <v>#VALUE!</v>
      </c>
      <c r="FL3" t="e">
        <f>AND(List1!E81,"AAAAAF9ps6c=")</f>
        <v>#VALUE!</v>
      </c>
      <c r="FM3" t="e">
        <f>AND(List1!F81,"AAAAAF9ps6g=")</f>
        <v>#VALUE!</v>
      </c>
      <c r="FN3" t="e">
        <f>IF(List1!#REF!,"AAAAAF9ps6k=",0)</f>
        <v>#REF!</v>
      </c>
      <c r="FO3" t="e">
        <f>AND(List1!#REF!,"AAAAAF9ps6o=")</f>
        <v>#REF!</v>
      </c>
      <c r="FP3" t="e">
        <f>AND(List1!#REF!,"AAAAAF9ps6s=")</f>
        <v>#REF!</v>
      </c>
      <c r="FQ3" t="e">
        <f>AND(List1!#REF!,"AAAAAF9ps6w=")</f>
        <v>#REF!</v>
      </c>
      <c r="FR3" t="e">
        <f>AND(List1!#REF!,"AAAAAF9ps60=")</f>
        <v>#REF!</v>
      </c>
      <c r="FS3" t="e">
        <f>AND(List1!#REF!,"AAAAAF9ps64=")</f>
        <v>#REF!</v>
      </c>
      <c r="FT3" t="e">
        <f>AND(List1!#REF!,"AAAAAF9ps68=")</f>
        <v>#REF!</v>
      </c>
      <c r="FU3" t="e">
        <f>IF(List1!#REF!,"AAAAAF9ps7A=",0)</f>
        <v>#REF!</v>
      </c>
      <c r="FV3" t="e">
        <f>AND(List1!#REF!,"AAAAAF9ps7E=")</f>
        <v>#REF!</v>
      </c>
      <c r="FW3" t="e">
        <f>AND(List1!#REF!,"AAAAAF9ps7I=")</f>
        <v>#REF!</v>
      </c>
      <c r="FX3" t="e">
        <f>AND(List1!#REF!,"AAAAAF9ps7M=")</f>
        <v>#REF!</v>
      </c>
      <c r="FY3" t="e">
        <f>AND(List1!#REF!,"AAAAAF9ps7Q=")</f>
        <v>#REF!</v>
      </c>
      <c r="FZ3" t="e">
        <f>AND(List1!#REF!,"AAAAAF9ps7U=")</f>
        <v>#REF!</v>
      </c>
      <c r="GA3" t="e">
        <f>AND(List1!#REF!,"AAAAAF9ps7Y=")</f>
        <v>#REF!</v>
      </c>
      <c r="GB3" t="e">
        <f>IF(List1!#REF!,"AAAAAF9ps7c=",0)</f>
        <v>#REF!</v>
      </c>
      <c r="GC3" t="e">
        <f>AND(List1!#REF!,"AAAAAF9ps7g=")</f>
        <v>#REF!</v>
      </c>
      <c r="GD3" t="e">
        <f>AND(List1!#REF!,"AAAAAF9ps7k=")</f>
        <v>#REF!</v>
      </c>
      <c r="GE3" t="e">
        <f>AND(List1!#REF!,"AAAAAF9ps7o=")</f>
        <v>#REF!</v>
      </c>
      <c r="GF3" t="e">
        <f>AND(List1!#REF!,"AAAAAF9ps7s=")</f>
        <v>#REF!</v>
      </c>
      <c r="GG3" t="e">
        <f>AND(List1!#REF!,"AAAAAF9ps7w=")</f>
        <v>#REF!</v>
      </c>
      <c r="GH3" t="e">
        <f>AND(List1!#REF!,"AAAAAF9ps70=")</f>
        <v>#REF!</v>
      </c>
      <c r="GI3" t="e">
        <f>IF(List1!#REF!,"AAAAAF9ps74=",0)</f>
        <v>#REF!</v>
      </c>
      <c r="GJ3" t="e">
        <f>AND(List1!#REF!,"AAAAAF9ps78=")</f>
        <v>#REF!</v>
      </c>
      <c r="GK3" t="e">
        <f>AND(List1!#REF!,"AAAAAF9ps8A=")</f>
        <v>#REF!</v>
      </c>
      <c r="GL3" t="e">
        <f>AND(List1!#REF!,"AAAAAF9ps8E=")</f>
        <v>#REF!</v>
      </c>
      <c r="GM3" t="e">
        <f>AND(List1!#REF!,"AAAAAF9ps8I=")</f>
        <v>#REF!</v>
      </c>
      <c r="GN3" t="e">
        <f>AND(List1!#REF!,"AAAAAF9ps8M=")</f>
        <v>#REF!</v>
      </c>
      <c r="GO3" t="e">
        <f>AND(List1!#REF!,"AAAAAF9ps8Q=")</f>
        <v>#REF!</v>
      </c>
      <c r="GP3" t="e">
        <f>IF(List1!#REF!,"AAAAAF9ps8U=",0)</f>
        <v>#REF!</v>
      </c>
      <c r="GQ3" t="e">
        <f>AND(List1!#REF!,"AAAAAF9ps8Y=")</f>
        <v>#REF!</v>
      </c>
      <c r="GR3" t="e">
        <f>AND(List1!#REF!,"AAAAAF9ps8c=")</f>
        <v>#REF!</v>
      </c>
      <c r="GS3" t="e">
        <f>AND(List1!#REF!,"AAAAAF9ps8g=")</f>
        <v>#REF!</v>
      </c>
      <c r="GT3" t="e">
        <f>AND(List1!#REF!,"AAAAAF9ps8k=")</f>
        <v>#REF!</v>
      </c>
      <c r="GU3" t="e">
        <f>AND(List1!#REF!,"AAAAAF9ps8o=")</f>
        <v>#REF!</v>
      </c>
      <c r="GV3" t="e">
        <f>AND(List1!#REF!,"AAAAAF9ps8s=")</f>
        <v>#REF!</v>
      </c>
      <c r="GW3" t="e">
        <f>IF(List1!#REF!,"AAAAAF9ps8w=",0)</f>
        <v>#REF!</v>
      </c>
      <c r="GX3" t="e">
        <f>AND(List1!#REF!,"AAAAAF9ps80=")</f>
        <v>#REF!</v>
      </c>
      <c r="GY3" t="e">
        <f>AND(List1!#REF!,"AAAAAF9ps84=")</f>
        <v>#REF!</v>
      </c>
      <c r="GZ3" t="e">
        <f>AND(List1!#REF!,"AAAAAF9ps88=")</f>
        <v>#REF!</v>
      </c>
      <c r="HA3" t="e">
        <f>AND(List1!#REF!,"AAAAAF9ps9A=")</f>
        <v>#REF!</v>
      </c>
      <c r="HB3" t="e">
        <f>AND(List1!#REF!,"AAAAAF9ps9E=")</f>
        <v>#REF!</v>
      </c>
      <c r="HC3" t="e">
        <f>AND(List1!#REF!,"AAAAAF9ps9I=")</f>
        <v>#REF!</v>
      </c>
      <c r="HD3">
        <f>IF(List1!90:90,"AAAAAF9ps9M=",0)</f>
        <v>0</v>
      </c>
      <c r="HE3" t="e">
        <f>AND(List1!A90,"AAAAAF9ps9Q=")</f>
        <v>#VALUE!</v>
      </c>
      <c r="HF3" t="e">
        <f>AND(List1!B90,"AAAAAF9ps9U=")</f>
        <v>#VALUE!</v>
      </c>
      <c r="HG3" t="e">
        <f>AND(List1!C90,"AAAAAF9ps9Y=")</f>
        <v>#VALUE!</v>
      </c>
      <c r="HH3" t="e">
        <f>AND(List1!D90,"AAAAAF9ps9c=")</f>
        <v>#VALUE!</v>
      </c>
      <c r="HI3" t="e">
        <f>AND(List1!E90,"AAAAAF9ps9g=")</f>
        <v>#VALUE!</v>
      </c>
      <c r="HJ3" t="e">
        <f>AND(List1!F90,"AAAAAF9ps9k=")</f>
        <v>#VALUE!</v>
      </c>
      <c r="HK3">
        <f>IF(List1!93:93,"AAAAAF9ps9o=",0)</f>
        <v>0</v>
      </c>
      <c r="HL3" t="e">
        <f>AND(List1!A93,"AAAAAF9ps9s=")</f>
        <v>#VALUE!</v>
      </c>
      <c r="HM3" t="e">
        <f>AND(List1!B93,"AAAAAF9ps9w=")</f>
        <v>#VALUE!</v>
      </c>
      <c r="HN3" t="e">
        <f>AND(List1!C93,"AAAAAF9ps90=")</f>
        <v>#VALUE!</v>
      </c>
      <c r="HO3" t="e">
        <f>AND(List1!D93,"AAAAAF9ps94=")</f>
        <v>#VALUE!</v>
      </c>
      <c r="HP3" t="e">
        <f>AND(List1!E93,"AAAAAF9ps98=")</f>
        <v>#VALUE!</v>
      </c>
      <c r="HQ3" t="e">
        <f>AND(List1!F93,"AAAAAF9ps+A=")</f>
        <v>#VALUE!</v>
      </c>
      <c r="HR3">
        <f>IF(List1!94:94,"AAAAAF9ps+E=",0)</f>
        <v>0</v>
      </c>
      <c r="HS3" t="e">
        <f>AND(List1!A94,"AAAAAF9ps+I=")</f>
        <v>#VALUE!</v>
      </c>
      <c r="HT3" t="e">
        <f>AND(List1!B94,"AAAAAF9ps+M=")</f>
        <v>#VALUE!</v>
      </c>
      <c r="HU3" t="e">
        <f>AND(List1!C94,"AAAAAF9ps+Q=")</f>
        <v>#VALUE!</v>
      </c>
      <c r="HV3" t="e">
        <f>AND(List1!D94,"AAAAAF9ps+U=")</f>
        <v>#VALUE!</v>
      </c>
      <c r="HW3" t="e">
        <f>AND(List1!E94,"AAAAAF9ps+Y=")</f>
        <v>#VALUE!</v>
      </c>
      <c r="HX3" t="e">
        <f>AND(List1!F94,"AAAAAF9ps+c=")</f>
        <v>#VALUE!</v>
      </c>
      <c r="HY3">
        <f>IF(List1!95:95,"AAAAAF9ps+g=",0)</f>
        <v>0</v>
      </c>
      <c r="HZ3" t="e">
        <f>AND(List1!A95,"AAAAAF9ps+k=")</f>
        <v>#VALUE!</v>
      </c>
      <c r="IA3" t="e">
        <f>AND(List1!B95,"AAAAAF9ps+o=")</f>
        <v>#VALUE!</v>
      </c>
      <c r="IB3" t="e">
        <f>AND(List1!C95,"AAAAAF9ps+s=")</f>
        <v>#VALUE!</v>
      </c>
      <c r="IC3" t="e">
        <f>AND(List1!D95,"AAAAAF9ps+w=")</f>
        <v>#VALUE!</v>
      </c>
      <c r="ID3" t="e">
        <f>AND(List1!E95,"AAAAAF9ps+0=")</f>
        <v>#VALUE!</v>
      </c>
      <c r="IE3" t="e">
        <f>AND(List1!F95,"AAAAAF9ps+4=")</f>
        <v>#VALUE!</v>
      </c>
      <c r="IF3">
        <f>IF(List1!100:100,"AAAAAF9ps+8=",0)</f>
        <v>0</v>
      </c>
      <c r="IG3" t="e">
        <f>AND(List1!A100,"AAAAAF9ps/A=")</f>
        <v>#VALUE!</v>
      </c>
      <c r="IH3" t="e">
        <f>AND(List1!B100,"AAAAAF9ps/E=")</f>
        <v>#VALUE!</v>
      </c>
      <c r="II3" t="e">
        <f>AND(List1!C100,"AAAAAF9ps/I=")</f>
        <v>#VALUE!</v>
      </c>
      <c r="IJ3" t="e">
        <f>AND(List1!D100,"AAAAAF9ps/M=")</f>
        <v>#VALUE!</v>
      </c>
      <c r="IK3" t="e">
        <f>AND(List1!E100,"AAAAAF9ps/Q=")</f>
        <v>#VALUE!</v>
      </c>
      <c r="IL3" t="e">
        <f>AND(List1!F100,"AAAAAF9ps/U=")</f>
        <v>#VALUE!</v>
      </c>
      <c r="IM3">
        <f>IF(List1!101:101,"AAAAAF9ps/Y=",0)</f>
        <v>0</v>
      </c>
      <c r="IN3" t="e">
        <f>AND(List1!A101,"AAAAAF9ps/c=")</f>
        <v>#VALUE!</v>
      </c>
      <c r="IO3" t="e">
        <f>AND(List1!B101,"AAAAAF9ps/g=")</f>
        <v>#VALUE!</v>
      </c>
      <c r="IP3" t="e">
        <f>AND(List1!C101,"AAAAAF9ps/k=")</f>
        <v>#VALUE!</v>
      </c>
      <c r="IQ3" t="e">
        <f>AND(List1!D101,"AAAAAF9ps/o=")</f>
        <v>#VALUE!</v>
      </c>
      <c r="IR3" t="e">
        <f>AND(List1!E101,"AAAAAF9ps/s=")</f>
        <v>#VALUE!</v>
      </c>
      <c r="IS3" t="e">
        <f>AND(List1!F101,"AAAAAF9ps/w=")</f>
        <v>#VALUE!</v>
      </c>
      <c r="IT3">
        <f>IF(List1!105:105,"AAAAAF9ps/0=",0)</f>
        <v>0</v>
      </c>
      <c r="IU3" t="e">
        <f>AND(List1!A105,"AAAAAF9ps/4=")</f>
        <v>#VALUE!</v>
      </c>
      <c r="IV3" t="e">
        <f>AND(List1!B105,"AAAAAF9ps/8=")</f>
        <v>#VALUE!</v>
      </c>
    </row>
    <row r="4" spans="1:256">
      <c r="A4" t="e">
        <f>AND(List1!C105,"AAAAAFv3+QA=")</f>
        <v>#VALUE!</v>
      </c>
      <c r="B4" t="e">
        <f>AND(List1!D105,"AAAAAFv3+QE=")</f>
        <v>#VALUE!</v>
      </c>
      <c r="C4" t="e">
        <f>AND(List1!E105,"AAAAAFv3+QI=")</f>
        <v>#VALUE!</v>
      </c>
      <c r="D4" t="e">
        <f>AND(List1!F105,"AAAAAFv3+QM=")</f>
        <v>#VALUE!</v>
      </c>
      <c r="E4">
        <f>IF(List1!106:106,"AAAAAFv3+QQ=",0)</f>
        <v>0</v>
      </c>
      <c r="F4" t="e">
        <f>AND(List1!A106,"AAAAAFv3+QU=")</f>
        <v>#VALUE!</v>
      </c>
      <c r="G4" t="e">
        <f>AND(List1!B106,"AAAAAFv3+QY=")</f>
        <v>#VALUE!</v>
      </c>
      <c r="H4" t="e">
        <f>AND(List1!C106,"AAAAAFv3+Qc=")</f>
        <v>#VALUE!</v>
      </c>
      <c r="I4" t="e">
        <f>AND(List1!D106,"AAAAAFv3+Qg=")</f>
        <v>#VALUE!</v>
      </c>
      <c r="J4" t="e">
        <f>AND(List1!E106,"AAAAAFv3+Qk=")</f>
        <v>#VALUE!</v>
      </c>
      <c r="K4" t="e">
        <f>AND(List1!F106,"AAAAAFv3+Qo=")</f>
        <v>#VALUE!</v>
      </c>
      <c r="L4">
        <f>IF(List1!107:107,"AAAAAFv3+Qs=",0)</f>
        <v>0</v>
      </c>
      <c r="M4" t="e">
        <f>AND(List1!A107,"AAAAAFv3+Qw=")</f>
        <v>#VALUE!</v>
      </c>
      <c r="N4" t="e">
        <f>AND(List1!B107,"AAAAAFv3+Q0=")</f>
        <v>#VALUE!</v>
      </c>
      <c r="O4" t="e">
        <f>AND(List1!C107,"AAAAAFv3+Q4=")</f>
        <v>#VALUE!</v>
      </c>
      <c r="P4" t="e">
        <f>AND(List1!D107,"AAAAAFv3+Q8=")</f>
        <v>#VALUE!</v>
      </c>
      <c r="Q4" t="e">
        <f>AND(List1!E107,"AAAAAFv3+RA=")</f>
        <v>#VALUE!</v>
      </c>
      <c r="R4" t="e">
        <f>AND(List1!F107,"AAAAAFv3+RE=")</f>
        <v>#VALUE!</v>
      </c>
      <c r="S4">
        <f>IF(List1!108:108,"AAAAAFv3+RI=",0)</f>
        <v>0</v>
      </c>
      <c r="T4" t="e">
        <f>AND(List1!A108,"AAAAAFv3+RM=")</f>
        <v>#VALUE!</v>
      </c>
      <c r="U4" t="e">
        <f>AND(List1!B108,"AAAAAFv3+RQ=")</f>
        <v>#VALUE!</v>
      </c>
      <c r="V4" t="e">
        <f>AND(List1!C108,"AAAAAFv3+RU=")</f>
        <v>#VALUE!</v>
      </c>
      <c r="W4">
        <f>IF(List1!B:B,"AAAAAFv3+RY=",0)</f>
        <v>0</v>
      </c>
      <c r="X4">
        <f>IF(List1!C:C,"AAAAAFv3+Rc=",0)</f>
        <v>0</v>
      </c>
      <c r="Y4">
        <f>IF(List1!D:D,"AAAAAFv3+Rg=",0)</f>
        <v>0</v>
      </c>
      <c r="Z4">
        <f>IF(List1!E:E,"AAAAAFv3+Rk=",0)</f>
        <v>0</v>
      </c>
      <c r="AA4">
        <f>IF(List1!F:F,"AAAAAFv3+Ro=",0)</f>
        <v>0</v>
      </c>
    </row>
    <row r="5" spans="1:256">
      <c r="A5" t="e">
        <f>IF(List1!1:1,"AAAAAD/+/QA=",0)</f>
        <v>#VALUE!</v>
      </c>
      <c r="B5" t="e">
        <f>AND(List1!A1,"AAAAAD/+/QE=")</f>
        <v>#VALUE!</v>
      </c>
      <c r="C5" t="e">
        <f>AND(List1!B1,"AAAAAD/+/QI=")</f>
        <v>#VALUE!</v>
      </c>
      <c r="D5" t="e">
        <f>AND(List1!C1,"AAAAAD/+/QM=")</f>
        <v>#VALUE!</v>
      </c>
      <c r="E5" t="e">
        <f>AND(List1!D1,"AAAAAD/+/QQ=")</f>
        <v>#VALUE!</v>
      </c>
      <c r="F5" t="e">
        <f>AND(List1!E1,"AAAAAD/+/QU=")</f>
        <v>#VALUE!</v>
      </c>
      <c r="G5" t="e">
        <f>AND(List1!F1,"AAAAAD/+/QY=")</f>
        <v>#VALUE!</v>
      </c>
      <c r="H5" t="e">
        <f>AND(List1!G1,"AAAAAD/+/Qc=")</f>
        <v>#VALUE!</v>
      </c>
      <c r="I5" t="e">
        <f>AND(List1!H1,"AAAAAD/+/Qg=")</f>
        <v>#VALUE!</v>
      </c>
      <c r="J5">
        <f>IF(List1!2:2,"AAAAAD/+/Qk=",0)</f>
        <v>0</v>
      </c>
      <c r="K5" t="e">
        <f>AND(List1!A2,"AAAAAD/+/Qo=")</f>
        <v>#VALUE!</v>
      </c>
      <c r="L5" t="e">
        <f>AND(List1!B2,"AAAAAD/+/Qs=")</f>
        <v>#VALUE!</v>
      </c>
      <c r="M5" t="e">
        <f>AND(List1!C2,"AAAAAD/+/Qw=")</f>
        <v>#VALUE!</v>
      </c>
      <c r="N5" t="e">
        <f>AND(List1!D2,"AAAAAD/+/Q0=")</f>
        <v>#VALUE!</v>
      </c>
      <c r="O5" t="e">
        <f>AND(List1!E2,"AAAAAD/+/Q4=")</f>
        <v>#VALUE!</v>
      </c>
      <c r="P5" t="e">
        <f>AND(List1!F2,"AAAAAD/+/Q8=")</f>
        <v>#VALUE!</v>
      </c>
      <c r="Q5" t="e">
        <f>AND(List1!G2,"AAAAAD/+/RA=")</f>
        <v>#VALUE!</v>
      </c>
      <c r="R5" t="e">
        <f>AND(List1!H2,"AAAAAD/+/RE=")</f>
        <v>#VALUE!</v>
      </c>
      <c r="S5">
        <f>IF(List1!3:3,"AAAAAD/+/RI=",0)</f>
        <v>0</v>
      </c>
      <c r="T5" t="e">
        <f>AND(List1!A3,"AAAAAD/+/RM=")</f>
        <v>#VALUE!</v>
      </c>
      <c r="U5" t="e">
        <f>AND(List1!B3,"AAAAAD/+/RQ=")</f>
        <v>#VALUE!</v>
      </c>
      <c r="V5" t="e">
        <f>AND(List1!C3,"AAAAAD/+/RU=")</f>
        <v>#VALUE!</v>
      </c>
      <c r="W5" t="e">
        <f>AND(List1!D3,"AAAAAD/+/RY=")</f>
        <v>#VALUE!</v>
      </c>
      <c r="X5" t="e">
        <f>AND(List1!E3,"AAAAAD/+/Rc=")</f>
        <v>#VALUE!</v>
      </c>
      <c r="Y5" t="e">
        <f>AND(List1!F3,"AAAAAD/+/Rg=")</f>
        <v>#VALUE!</v>
      </c>
      <c r="Z5" t="e">
        <f>AND(List1!G3,"AAAAAD/+/Rk=")</f>
        <v>#VALUE!</v>
      </c>
      <c r="AA5" t="e">
        <f>AND(List1!H3,"AAAAAD/+/Ro=")</f>
        <v>#VALUE!</v>
      </c>
      <c r="AB5">
        <f>IF(List1!4:4,"AAAAAD/+/Rs=",0)</f>
        <v>0</v>
      </c>
      <c r="AC5" t="e">
        <f>AND(List1!A4,"AAAAAD/+/Rw=")</f>
        <v>#VALUE!</v>
      </c>
      <c r="AD5" t="e">
        <f>AND(List1!B4,"AAAAAD/+/R0=")</f>
        <v>#VALUE!</v>
      </c>
      <c r="AE5" t="e">
        <f>AND(List1!C4,"AAAAAD/+/R4=")</f>
        <v>#VALUE!</v>
      </c>
      <c r="AF5" t="e">
        <f>AND(List1!D4,"AAAAAD/+/R8=")</f>
        <v>#VALUE!</v>
      </c>
      <c r="AG5" t="e">
        <f>AND(List1!E4,"AAAAAD/+/SA=")</f>
        <v>#VALUE!</v>
      </c>
      <c r="AH5" t="e">
        <f>AND(List1!F4,"AAAAAD/+/SE=")</f>
        <v>#VALUE!</v>
      </c>
      <c r="AI5" t="e">
        <f>AND(List1!G4,"AAAAAD/+/SI=")</f>
        <v>#VALUE!</v>
      </c>
      <c r="AJ5" t="e">
        <f>AND(List1!H4,"AAAAAD/+/SM=")</f>
        <v>#VALUE!</v>
      </c>
      <c r="AK5">
        <f>IF(List1!5:5,"AAAAAD/+/SQ=",0)</f>
        <v>0</v>
      </c>
      <c r="AL5" t="e">
        <f>AND(List1!A5,"AAAAAD/+/SU=")</f>
        <v>#VALUE!</v>
      </c>
      <c r="AM5" t="e">
        <f>AND(List1!B5,"AAAAAD/+/SY=")</f>
        <v>#VALUE!</v>
      </c>
      <c r="AN5" t="e">
        <f>AND(List1!C5,"AAAAAD/+/Sc=")</f>
        <v>#VALUE!</v>
      </c>
      <c r="AO5" t="e">
        <f>AND(List1!D5,"AAAAAD/+/Sg=")</f>
        <v>#VALUE!</v>
      </c>
      <c r="AP5" t="e">
        <f>AND(List1!E5,"AAAAAD/+/Sk=")</f>
        <v>#VALUE!</v>
      </c>
      <c r="AQ5" t="e">
        <f>AND(List1!F5,"AAAAAD/+/So=")</f>
        <v>#VALUE!</v>
      </c>
      <c r="AR5" t="e">
        <f>AND(List1!G5,"AAAAAD/+/Ss=")</f>
        <v>#VALUE!</v>
      </c>
      <c r="AS5" t="e">
        <f>AND(List1!H5,"AAAAAD/+/Sw=")</f>
        <v>#VALUE!</v>
      </c>
      <c r="AT5">
        <f>IF(List1!6:6,"AAAAAD/+/S0=",0)</f>
        <v>0</v>
      </c>
      <c r="AU5" t="e">
        <f>AND(List1!A6,"AAAAAD/+/S4=")</f>
        <v>#VALUE!</v>
      </c>
      <c r="AV5" t="e">
        <f>AND(List1!B6,"AAAAAD/+/S8=")</f>
        <v>#VALUE!</v>
      </c>
      <c r="AW5" t="e">
        <f>AND(List1!C6,"AAAAAD/+/TA=")</f>
        <v>#VALUE!</v>
      </c>
      <c r="AX5" t="e">
        <f>AND(List1!D6,"AAAAAD/+/TE=")</f>
        <v>#VALUE!</v>
      </c>
      <c r="AY5" t="e">
        <f>AND(List1!E6,"AAAAAD/+/TI=")</f>
        <v>#VALUE!</v>
      </c>
      <c r="AZ5" t="e">
        <f>AND(List1!F6,"AAAAAD/+/TM=")</f>
        <v>#VALUE!</v>
      </c>
      <c r="BA5" t="e">
        <f>AND(List1!G6,"AAAAAD/+/TQ=")</f>
        <v>#VALUE!</v>
      </c>
      <c r="BB5" t="e">
        <f>AND(List1!H6,"AAAAAD/+/TU=")</f>
        <v>#VALUE!</v>
      </c>
      <c r="BC5">
        <f>IF(List1!7:7,"AAAAAD/+/TY=",0)</f>
        <v>0</v>
      </c>
      <c r="BD5" t="e">
        <f>AND(List1!A7,"AAAAAD/+/Tc=")</f>
        <v>#VALUE!</v>
      </c>
      <c r="BE5" t="e">
        <f>AND(List1!B7,"AAAAAD/+/Tg=")</f>
        <v>#VALUE!</v>
      </c>
      <c r="BF5" t="e">
        <f>AND(List1!C7,"AAAAAD/+/Tk=")</f>
        <v>#VALUE!</v>
      </c>
      <c r="BG5" t="e">
        <f>AND(List1!D7,"AAAAAD/+/To=")</f>
        <v>#VALUE!</v>
      </c>
      <c r="BH5" t="e">
        <f>AND(List1!E7,"AAAAAD/+/Ts=")</f>
        <v>#VALUE!</v>
      </c>
      <c r="BI5" t="e">
        <f>AND(List1!F7,"AAAAAD/+/Tw=")</f>
        <v>#VALUE!</v>
      </c>
      <c r="BJ5" t="e">
        <f>AND(List1!G7,"AAAAAD/+/T0=")</f>
        <v>#VALUE!</v>
      </c>
      <c r="BK5" t="e">
        <f>AND(List1!H7,"AAAAAD/+/T4=")</f>
        <v>#VALUE!</v>
      </c>
      <c r="BL5">
        <f>IF(List1!8:8,"AAAAAD/+/T8=",0)</f>
        <v>0</v>
      </c>
      <c r="BM5" t="e">
        <f>AND(List1!A8,"AAAAAD/+/UA=")</f>
        <v>#VALUE!</v>
      </c>
      <c r="BN5" t="e">
        <f>AND(List1!B8,"AAAAAD/+/UE=")</f>
        <v>#VALUE!</v>
      </c>
      <c r="BO5" t="e">
        <f>AND(List1!C8,"AAAAAD/+/UI=")</f>
        <v>#VALUE!</v>
      </c>
      <c r="BP5" t="e">
        <f>AND(List1!D8,"AAAAAD/+/UM=")</f>
        <v>#VALUE!</v>
      </c>
      <c r="BQ5" t="e">
        <f>AND(List1!E8,"AAAAAD/+/UQ=")</f>
        <v>#VALUE!</v>
      </c>
      <c r="BR5" t="e">
        <f>AND(List1!F8,"AAAAAD/+/UU=")</f>
        <v>#VALUE!</v>
      </c>
      <c r="BS5" t="e">
        <f>AND(List1!G8,"AAAAAD/+/UY=")</f>
        <v>#VALUE!</v>
      </c>
      <c r="BT5" t="e">
        <f>AND(List1!H8,"AAAAAD/+/Uc=")</f>
        <v>#VALUE!</v>
      </c>
      <c r="BU5" t="e">
        <f>AND(List1!G9,"AAAAAD/+/Ug=")</f>
        <v>#VALUE!</v>
      </c>
      <c r="BV5" t="e">
        <f>AND(List1!H9,"AAAAAD/+/Uk=")</f>
        <v>#VALUE!</v>
      </c>
      <c r="BW5" t="e">
        <f>AND(List1!G10,"AAAAAD/+/Uo=")</f>
        <v>#VALUE!</v>
      </c>
      <c r="BX5" t="e">
        <f>AND(List1!H10,"AAAAAD/+/Us=")</f>
        <v>#VALUE!</v>
      </c>
      <c r="BY5" t="e">
        <f>AND(List1!G11,"AAAAAD/+/Uw=")</f>
        <v>#VALUE!</v>
      </c>
      <c r="BZ5" t="e">
        <f>AND(List1!H11,"AAAAAD/+/U0=")</f>
        <v>#VALUE!</v>
      </c>
      <c r="CA5" t="e">
        <f>AND(List1!G12,"AAAAAD/+/U4=")</f>
        <v>#VALUE!</v>
      </c>
      <c r="CB5" t="e">
        <f>AND(List1!H12,"AAAAAD/+/U8=")</f>
        <v>#VALUE!</v>
      </c>
      <c r="CC5" t="e">
        <f>AND(List1!G13,"AAAAAD/+/VA=")</f>
        <v>#VALUE!</v>
      </c>
      <c r="CD5" t="e">
        <f>AND(List1!H13,"AAAAAD/+/VE=")</f>
        <v>#VALUE!</v>
      </c>
      <c r="CE5" t="e">
        <f>AND(List1!G14,"AAAAAD/+/VI=")</f>
        <v>#VALUE!</v>
      </c>
      <c r="CF5" t="e">
        <f>AND(List1!H14,"AAAAAD/+/VM=")</f>
        <v>#VALUE!</v>
      </c>
      <c r="CG5" t="e">
        <f>AND(List1!G15,"AAAAAD/+/VQ=")</f>
        <v>#VALUE!</v>
      </c>
      <c r="CH5" t="e">
        <f>AND(List1!H15,"AAAAAD/+/VU=")</f>
        <v>#VALUE!</v>
      </c>
      <c r="CI5" t="e">
        <f>AND(List1!G16,"AAAAAD/+/VY=")</f>
        <v>#VALUE!</v>
      </c>
      <c r="CJ5" t="e">
        <f>AND(List1!H16,"AAAAAD/+/Vc=")</f>
        <v>#VALUE!</v>
      </c>
      <c r="CK5" t="e">
        <f>AND(List1!G17,"AAAAAD/+/Vg=")</f>
        <v>#VALUE!</v>
      </c>
      <c r="CL5" t="e">
        <f>AND(List1!H17,"AAAAAD/+/Vk=")</f>
        <v>#VALUE!</v>
      </c>
      <c r="CM5" t="e">
        <f>AND(List1!G18,"AAAAAD/+/Vo=")</f>
        <v>#VALUE!</v>
      </c>
      <c r="CN5" t="e">
        <f>AND(List1!H18,"AAAAAD/+/Vs=")</f>
        <v>#VALUE!</v>
      </c>
      <c r="CO5" t="e">
        <f>AND(List1!G19,"AAAAAD/+/Vw=")</f>
        <v>#VALUE!</v>
      </c>
      <c r="CP5" t="e">
        <f>AND(List1!H19,"AAAAAD/+/V0=")</f>
        <v>#VALUE!</v>
      </c>
      <c r="CQ5" t="e">
        <f>AND(List1!G20,"AAAAAD/+/V4=")</f>
        <v>#VALUE!</v>
      </c>
      <c r="CR5" t="e">
        <f>AND(List1!H20,"AAAAAD/+/V8=")</f>
        <v>#VALUE!</v>
      </c>
      <c r="CS5" t="e">
        <f>AND(List1!G21,"AAAAAD/+/WA=")</f>
        <v>#VALUE!</v>
      </c>
      <c r="CT5" t="e">
        <f>AND(List1!H21,"AAAAAD/+/WE=")</f>
        <v>#VALUE!</v>
      </c>
      <c r="CU5" t="e">
        <f>AND(List1!G22,"AAAAAD/+/WI=")</f>
        <v>#VALUE!</v>
      </c>
      <c r="CV5" t="e">
        <f>AND(List1!H22,"AAAAAD/+/WM=")</f>
        <v>#VALUE!</v>
      </c>
      <c r="CW5" t="e">
        <f>AND(List1!G23,"AAAAAD/+/WQ=")</f>
        <v>#VALUE!</v>
      </c>
      <c r="CX5" t="e">
        <f>AND(List1!H23,"AAAAAD/+/WU=")</f>
        <v>#VALUE!</v>
      </c>
      <c r="CY5" t="e">
        <f>AND(List1!G24,"AAAAAD/+/WY=")</f>
        <v>#VALUE!</v>
      </c>
      <c r="CZ5" t="e">
        <f>AND(List1!H24,"AAAAAD/+/Wc=")</f>
        <v>#VALUE!</v>
      </c>
      <c r="DA5" t="e">
        <f>AND(List1!G25,"AAAAAD/+/Wg=")</f>
        <v>#VALUE!</v>
      </c>
      <c r="DB5" t="e">
        <f>AND(List1!H25,"AAAAAD/+/Wk=")</f>
        <v>#VALUE!</v>
      </c>
      <c r="DC5" t="e">
        <f>AND(List1!G26,"AAAAAD/+/Wo=")</f>
        <v>#VALUE!</v>
      </c>
      <c r="DD5" t="e">
        <f>AND(List1!H26,"AAAAAD/+/Ws=")</f>
        <v>#VALUE!</v>
      </c>
      <c r="DE5" t="e">
        <f>AND(List1!G27,"AAAAAD/+/Ww=")</f>
        <v>#VALUE!</v>
      </c>
      <c r="DF5" t="e">
        <f>AND(List1!H27,"AAAAAD/+/W0=")</f>
        <v>#VALUE!</v>
      </c>
      <c r="DG5" t="e">
        <f>AND(List1!G28,"AAAAAD/+/W4=")</f>
        <v>#VALUE!</v>
      </c>
      <c r="DH5" t="e">
        <f>AND(List1!H28,"AAAAAD/+/W8=")</f>
        <v>#VALUE!</v>
      </c>
      <c r="DI5" t="e">
        <f>AND(List1!G29,"AAAAAD/+/XA=")</f>
        <v>#VALUE!</v>
      </c>
      <c r="DJ5" t="e">
        <f>AND(List1!H29,"AAAAAD/+/XE=")</f>
        <v>#VALUE!</v>
      </c>
      <c r="DK5" t="e">
        <f>AND(List1!G30,"AAAAAD/+/XI=")</f>
        <v>#VALUE!</v>
      </c>
      <c r="DL5" t="e">
        <f>AND(List1!H30,"AAAAAD/+/XM=")</f>
        <v>#VALUE!</v>
      </c>
      <c r="DM5" t="e">
        <f>AND(List1!G31,"AAAAAD/+/XQ=")</f>
        <v>#VALUE!</v>
      </c>
      <c r="DN5" t="e">
        <f>AND(List1!H31,"AAAAAD/+/XU=")</f>
        <v>#VALUE!</v>
      </c>
      <c r="DO5" t="e">
        <f>AND(List1!G32,"AAAAAD/+/XY=")</f>
        <v>#VALUE!</v>
      </c>
      <c r="DP5" t="e">
        <f>AND(List1!H32,"AAAAAD/+/Xc=")</f>
        <v>#VALUE!</v>
      </c>
      <c r="DQ5" t="e">
        <f>AND(List1!G33,"AAAAAD/+/Xg=")</f>
        <v>#VALUE!</v>
      </c>
      <c r="DR5" t="e">
        <f>AND(List1!H33,"AAAAAD/+/Xk=")</f>
        <v>#VALUE!</v>
      </c>
      <c r="DS5" t="e">
        <f>AND(List1!G34,"AAAAAD/+/Xo=")</f>
        <v>#VALUE!</v>
      </c>
      <c r="DT5" t="e">
        <f>AND(List1!H34,"AAAAAD/+/Xs=")</f>
        <v>#VALUE!</v>
      </c>
      <c r="DU5" t="e">
        <f>AND(List1!G35,"AAAAAD/+/Xw=")</f>
        <v>#VALUE!</v>
      </c>
      <c r="DV5" t="e">
        <f>AND(List1!H35,"AAAAAD/+/X0=")</f>
        <v>#VALUE!</v>
      </c>
      <c r="DW5" t="e">
        <f>AND(List1!G36,"AAAAAD/+/X4=")</f>
        <v>#VALUE!</v>
      </c>
      <c r="DX5" t="e">
        <f>AND(List1!H36,"AAAAAD/+/X8=")</f>
        <v>#VALUE!</v>
      </c>
      <c r="DY5" t="e">
        <f>AND(List1!G37,"AAAAAD/+/YA=")</f>
        <v>#VALUE!</v>
      </c>
      <c r="DZ5" t="e">
        <f>AND(List1!H37,"AAAAAD/+/YE=")</f>
        <v>#VALUE!</v>
      </c>
      <c r="EA5" t="e">
        <f>AND(List1!G38,"AAAAAD/+/YI=")</f>
        <v>#VALUE!</v>
      </c>
      <c r="EB5" t="e">
        <f>AND(List1!H38,"AAAAAD/+/YM=")</f>
        <v>#VALUE!</v>
      </c>
      <c r="EC5" t="e">
        <f>AND(List1!G39,"AAAAAD/+/YQ=")</f>
        <v>#VALUE!</v>
      </c>
      <c r="ED5" t="e">
        <f>AND(List1!H39,"AAAAAD/+/YU=")</f>
        <v>#VALUE!</v>
      </c>
      <c r="EE5" t="e">
        <f>AND(List1!G40,"AAAAAD/+/YY=")</f>
        <v>#VALUE!</v>
      </c>
      <c r="EF5" t="e">
        <f>AND(List1!H40,"AAAAAD/+/Yc=")</f>
        <v>#VALUE!</v>
      </c>
      <c r="EG5" t="e">
        <f>AND(List1!G41,"AAAAAD/+/Yg=")</f>
        <v>#VALUE!</v>
      </c>
      <c r="EH5" t="e">
        <f>AND(List1!H41,"AAAAAD/+/Yk=")</f>
        <v>#VALUE!</v>
      </c>
      <c r="EI5" t="e">
        <f>AND(List1!G42,"AAAAAD/+/Yo=")</f>
        <v>#VALUE!</v>
      </c>
      <c r="EJ5" t="e">
        <f>AND(List1!H42,"AAAAAD/+/Ys=")</f>
        <v>#VALUE!</v>
      </c>
      <c r="EK5">
        <f>IF(List1!43:43,"AAAAAD/+/Yw=",0)</f>
        <v>0</v>
      </c>
      <c r="EL5" t="e">
        <f>AND(List1!A43,"AAAAAD/+/Y0=")</f>
        <v>#VALUE!</v>
      </c>
      <c r="EM5" t="e">
        <f>AND(List1!B43,"AAAAAD/+/Y4=")</f>
        <v>#VALUE!</v>
      </c>
      <c r="EN5" t="e">
        <f>AND(List1!C43,"AAAAAD/+/Y8=")</f>
        <v>#VALUE!</v>
      </c>
      <c r="EO5" t="e">
        <f>AND(List1!D43,"AAAAAD/+/ZA=")</f>
        <v>#VALUE!</v>
      </c>
      <c r="EP5" t="e">
        <f>AND(List1!E43,"AAAAAD/+/ZE=")</f>
        <v>#VALUE!</v>
      </c>
      <c r="EQ5" t="e">
        <f>AND(List1!F43,"AAAAAD/+/ZI=")</f>
        <v>#VALUE!</v>
      </c>
      <c r="ER5" t="e">
        <f>AND(List1!G43,"AAAAAD/+/ZM=")</f>
        <v>#VALUE!</v>
      </c>
      <c r="ES5" t="e">
        <f>AND(List1!H43,"AAAAAD/+/ZQ=")</f>
        <v>#VALUE!</v>
      </c>
      <c r="ET5">
        <f>IF(List1!44:44,"AAAAAD/+/ZU=",0)</f>
        <v>0</v>
      </c>
      <c r="EU5" t="e">
        <f>AND(List1!A44,"AAAAAD/+/ZY=")</f>
        <v>#VALUE!</v>
      </c>
      <c r="EV5" t="e">
        <f>AND(List1!B44,"AAAAAD/+/Zc=")</f>
        <v>#VALUE!</v>
      </c>
      <c r="EW5" t="e">
        <f>AND(List1!C44,"AAAAAD/+/Zg=")</f>
        <v>#VALUE!</v>
      </c>
      <c r="EX5" t="e">
        <f>AND(List1!D44,"AAAAAD/+/Zk=")</f>
        <v>#VALUE!</v>
      </c>
      <c r="EY5" t="e">
        <f>AND(List1!E44,"AAAAAD/+/Zo=")</f>
        <v>#VALUE!</v>
      </c>
      <c r="EZ5" t="e">
        <f>AND(List1!F44,"AAAAAD/+/Zs=")</f>
        <v>#VALUE!</v>
      </c>
      <c r="FA5" t="e">
        <f>AND(List1!G44,"AAAAAD/+/Zw=")</f>
        <v>#VALUE!</v>
      </c>
      <c r="FB5" t="e">
        <f>AND(List1!H44,"AAAAAD/+/Z0=")</f>
        <v>#VALUE!</v>
      </c>
      <c r="FC5">
        <f>IF(List1!45:45,"AAAAAD/+/Z4=",0)</f>
        <v>0</v>
      </c>
      <c r="FD5" t="e">
        <f>AND(List1!A45,"AAAAAD/+/Z8=")</f>
        <v>#VALUE!</v>
      </c>
      <c r="FE5" t="e">
        <f>AND(List1!B45,"AAAAAD/+/aA=")</f>
        <v>#VALUE!</v>
      </c>
      <c r="FF5" t="e">
        <f>AND(List1!C45,"AAAAAD/+/aE=")</f>
        <v>#VALUE!</v>
      </c>
      <c r="FG5" t="e">
        <f>AND(List1!D45,"AAAAAD/+/aI=")</f>
        <v>#VALUE!</v>
      </c>
      <c r="FH5" t="e">
        <f>AND(List1!E45,"AAAAAD/+/aM=")</f>
        <v>#VALUE!</v>
      </c>
      <c r="FI5" t="e">
        <f>AND(List1!F45,"AAAAAD/+/aQ=")</f>
        <v>#VALUE!</v>
      </c>
      <c r="FJ5" t="e">
        <f>AND(List1!G45,"AAAAAD/+/aU=")</f>
        <v>#VALUE!</v>
      </c>
      <c r="FK5" t="e">
        <f>AND(List1!H45,"AAAAAD/+/aY=")</f>
        <v>#VALUE!</v>
      </c>
      <c r="FL5">
        <f>IF(List1!46:46,"AAAAAD/+/ac=",0)</f>
        <v>0</v>
      </c>
      <c r="FM5" t="e">
        <f>AND(List1!A46,"AAAAAD/+/ag=")</f>
        <v>#VALUE!</v>
      </c>
      <c r="FN5" t="e">
        <f>AND(List1!B46,"AAAAAD/+/ak=")</f>
        <v>#VALUE!</v>
      </c>
      <c r="FO5" t="e">
        <f>AND(List1!C46,"AAAAAD/+/ao=")</f>
        <v>#VALUE!</v>
      </c>
      <c r="FP5" t="e">
        <f>AND(List1!D46,"AAAAAD/+/as=")</f>
        <v>#VALUE!</v>
      </c>
      <c r="FQ5" t="e">
        <f>AND(List1!E46,"AAAAAD/+/aw=")</f>
        <v>#VALUE!</v>
      </c>
      <c r="FR5" t="e">
        <f>AND(List1!F46,"AAAAAD/+/a0=")</f>
        <v>#VALUE!</v>
      </c>
      <c r="FS5" t="e">
        <f>AND(List1!G46,"AAAAAD/+/a4=")</f>
        <v>#VALUE!</v>
      </c>
      <c r="FT5" t="e">
        <f>AND(List1!H46,"AAAAAD/+/a8=")</f>
        <v>#VALUE!</v>
      </c>
      <c r="FU5">
        <f>IF(List1!47:47,"AAAAAD/+/bA=",0)</f>
        <v>0</v>
      </c>
      <c r="FV5" t="e">
        <f>AND(List1!B47,"AAAAAD/+/bE=")</f>
        <v>#VALUE!</v>
      </c>
      <c r="FW5" t="e">
        <f>AND(List1!C47,"AAAAAD/+/bI=")</f>
        <v>#VALUE!</v>
      </c>
      <c r="FX5" t="e">
        <f>AND(List1!D47,"AAAAAD/+/bM=")</f>
        <v>#VALUE!</v>
      </c>
      <c r="FY5" t="e">
        <f>AND(List1!E47,"AAAAAD/+/bQ=")</f>
        <v>#VALUE!</v>
      </c>
      <c r="FZ5" t="e">
        <f>AND(List1!F47,"AAAAAD/+/bU=")</f>
        <v>#VALUE!</v>
      </c>
      <c r="GA5" t="e">
        <f>AND(List1!G47,"AAAAAD/+/bY=")</f>
        <v>#VALUE!</v>
      </c>
      <c r="GB5" t="e">
        <f>AND(List1!H47,"AAAAAD/+/bc=")</f>
        <v>#VALUE!</v>
      </c>
      <c r="GC5" t="e">
        <f>AND(List1!A48,"AAAAAD/+/bg=")</f>
        <v>#VALUE!</v>
      </c>
      <c r="GD5" t="e">
        <f>AND(List1!G48,"AAAAAD/+/bk=")</f>
        <v>#VALUE!</v>
      </c>
      <c r="GE5" t="e">
        <f>AND(List1!H48,"AAAAAD/+/bo=")</f>
        <v>#VALUE!</v>
      </c>
      <c r="GF5" t="e">
        <f>AND(List1!G49,"AAAAAD/+/bs=")</f>
        <v>#VALUE!</v>
      </c>
      <c r="GG5" t="e">
        <f>AND(List1!H49,"AAAAAD/+/bw=")</f>
        <v>#VALUE!</v>
      </c>
      <c r="GH5" t="e">
        <f>AND(List1!G50,"AAAAAD/+/b0=")</f>
        <v>#VALUE!</v>
      </c>
      <c r="GI5" t="e">
        <f>AND(List1!H50,"AAAAAD/+/b4=")</f>
        <v>#VALUE!</v>
      </c>
      <c r="GJ5" t="e">
        <f>AND(List1!G51,"AAAAAD/+/b8=")</f>
        <v>#VALUE!</v>
      </c>
      <c r="GK5" t="e">
        <f>AND(List1!H51,"AAAAAD/+/cA=")</f>
        <v>#VALUE!</v>
      </c>
      <c r="GL5" t="e">
        <f>AND(List1!G52,"AAAAAD/+/cE=")</f>
        <v>#VALUE!</v>
      </c>
      <c r="GM5" t="e">
        <f>AND(List1!H52,"AAAAAD/+/cI=")</f>
        <v>#VALUE!</v>
      </c>
      <c r="GN5" t="e">
        <f>AND(List1!G53,"AAAAAD/+/cM=")</f>
        <v>#VALUE!</v>
      </c>
      <c r="GO5" t="e">
        <f>AND(List1!H53,"AAAAAD/+/cQ=")</f>
        <v>#VALUE!</v>
      </c>
      <c r="GP5" t="e">
        <f>AND(List1!G54,"AAAAAD/+/cU=")</f>
        <v>#VALUE!</v>
      </c>
      <c r="GQ5" t="e">
        <f>AND(List1!H54,"AAAAAD/+/cY=")</f>
        <v>#VALUE!</v>
      </c>
      <c r="GR5" t="e">
        <f>AND(List1!G61,"AAAAAD/+/cc=")</f>
        <v>#VALUE!</v>
      </c>
      <c r="GS5" t="e">
        <f>AND(List1!H61,"AAAAAD/+/cg=")</f>
        <v>#VALUE!</v>
      </c>
      <c r="GT5" t="e">
        <f>AND(List1!G62,"AAAAAD/+/ck=")</f>
        <v>#VALUE!</v>
      </c>
      <c r="GU5" t="e">
        <f>AND(List1!H62,"AAAAAD/+/co=")</f>
        <v>#VALUE!</v>
      </c>
      <c r="GV5" t="e">
        <f>AND(List1!G63,"AAAAAD/+/cs=")</f>
        <v>#VALUE!</v>
      </c>
      <c r="GW5" t="e">
        <f>AND(List1!H63,"AAAAAD/+/cw=")</f>
        <v>#VALUE!</v>
      </c>
      <c r="GX5" t="e">
        <f>AND(List1!G64,"AAAAAD/+/c0=")</f>
        <v>#VALUE!</v>
      </c>
      <c r="GY5" t="e">
        <f>AND(List1!H64,"AAAAAD/+/c4=")</f>
        <v>#VALUE!</v>
      </c>
      <c r="GZ5" t="e">
        <f>AND(List1!G65,"AAAAAD/+/c8=")</f>
        <v>#VALUE!</v>
      </c>
      <c r="HA5" t="e">
        <f>AND(List1!H65,"AAAAAD/+/dA=")</f>
        <v>#VALUE!</v>
      </c>
      <c r="HB5" t="e">
        <f>AND(List1!G66,"AAAAAD/+/dE=")</f>
        <v>#VALUE!</v>
      </c>
      <c r="HC5" t="e">
        <f>AND(List1!H66,"AAAAAD/+/dI=")</f>
        <v>#VALUE!</v>
      </c>
      <c r="HD5" t="e">
        <f>AND(List1!G67,"AAAAAD/+/dM=")</f>
        <v>#VALUE!</v>
      </c>
      <c r="HE5" t="e">
        <f>AND(List1!H67,"AAAAAD/+/dQ=")</f>
        <v>#VALUE!</v>
      </c>
      <c r="HF5" t="e">
        <f>AND(List1!G68,"AAAAAD/+/dU=")</f>
        <v>#VALUE!</v>
      </c>
      <c r="HG5" t="e">
        <f>AND(List1!H68,"AAAAAD/+/dY=")</f>
        <v>#VALUE!</v>
      </c>
      <c r="HH5" t="e">
        <f>AND(List1!G69,"AAAAAD/+/dc=")</f>
        <v>#VALUE!</v>
      </c>
      <c r="HI5" t="e">
        <f>AND(List1!H69,"AAAAAD/+/dg=")</f>
        <v>#VALUE!</v>
      </c>
      <c r="HJ5" t="e">
        <f>AND(List1!G70,"AAAAAD/+/dk=")</f>
        <v>#VALUE!</v>
      </c>
      <c r="HK5" t="e">
        <f>AND(List1!H70,"AAAAAD/+/do=")</f>
        <v>#VALUE!</v>
      </c>
      <c r="HL5" t="e">
        <f>AND(List1!G71,"AAAAAD/+/ds=")</f>
        <v>#VALUE!</v>
      </c>
      <c r="HM5" t="e">
        <f>AND(List1!H71,"AAAAAD/+/dw=")</f>
        <v>#VALUE!</v>
      </c>
      <c r="HN5" t="e">
        <f>AND(List1!G72,"AAAAAD/+/d0=")</f>
        <v>#VALUE!</v>
      </c>
      <c r="HO5" t="e">
        <f>AND(List1!H72,"AAAAAD/+/d4=")</f>
        <v>#VALUE!</v>
      </c>
      <c r="HP5" t="e">
        <f>AND(List1!#REF!,"AAAAAD/+/d8=")</f>
        <v>#REF!</v>
      </c>
      <c r="HQ5" t="e">
        <f>AND(List1!#REF!,"AAAAAD/+/eA=")</f>
        <v>#REF!</v>
      </c>
      <c r="HR5" t="e">
        <f>AND(List1!#REF!,"AAAAAD/+/eE=")</f>
        <v>#REF!</v>
      </c>
      <c r="HS5" t="e">
        <f>AND(List1!#REF!,"AAAAAD/+/eI=")</f>
        <v>#REF!</v>
      </c>
      <c r="HT5">
        <f>IF(List1!73:73,"AAAAAD/+/eM=",0)</f>
        <v>0</v>
      </c>
      <c r="HU5" t="e">
        <f>AND(List1!A73,"AAAAAD/+/eQ=")</f>
        <v>#VALUE!</v>
      </c>
      <c r="HV5" t="e">
        <f>AND(List1!B73,"AAAAAD/+/eU=")</f>
        <v>#VALUE!</v>
      </c>
      <c r="HW5" t="e">
        <f>AND(List1!C73,"AAAAAD/+/eY=")</f>
        <v>#VALUE!</v>
      </c>
      <c r="HX5" t="e">
        <f>AND(List1!D73,"AAAAAD/+/ec=")</f>
        <v>#VALUE!</v>
      </c>
      <c r="HY5" t="e">
        <f>AND(List1!E73,"AAAAAD/+/eg=")</f>
        <v>#VALUE!</v>
      </c>
      <c r="HZ5" t="e">
        <f>AND(List1!F73,"AAAAAD/+/ek=")</f>
        <v>#VALUE!</v>
      </c>
      <c r="IA5" t="e">
        <f>AND(List1!G73,"AAAAAD/+/eo=")</f>
        <v>#VALUE!</v>
      </c>
      <c r="IB5" t="e">
        <f>AND(List1!H73,"AAAAAD/+/es=")</f>
        <v>#VALUE!</v>
      </c>
      <c r="IC5" t="e">
        <f>AND(List1!A74,"AAAAAD/+/ew=")</f>
        <v>#VALUE!</v>
      </c>
      <c r="ID5" t="e">
        <f>AND(List1!B74,"AAAAAD/+/e0=")</f>
        <v>#VALUE!</v>
      </c>
      <c r="IE5" t="e">
        <f>AND(List1!C74,"AAAAAD/+/e4=")</f>
        <v>#VALUE!</v>
      </c>
      <c r="IF5" t="e">
        <f>AND(List1!D74,"AAAAAD/+/e8=")</f>
        <v>#VALUE!</v>
      </c>
      <c r="IG5" t="e">
        <f>AND(List1!E74,"AAAAAD/+/fA=")</f>
        <v>#VALUE!</v>
      </c>
      <c r="IH5" t="e">
        <f>AND(List1!G74,"AAAAAD/+/fE=")</f>
        <v>#VALUE!</v>
      </c>
      <c r="II5" t="e">
        <f>AND(List1!H74,"AAAAAD/+/fI=")</f>
        <v>#VALUE!</v>
      </c>
      <c r="IJ5">
        <f>IF(List1!75:75,"AAAAAD/+/fM=",0)</f>
        <v>0</v>
      </c>
      <c r="IK5" t="e">
        <f>AND(List1!A75,"AAAAAD/+/fQ=")</f>
        <v>#VALUE!</v>
      </c>
      <c r="IL5" t="e">
        <f>AND(List1!B75,"AAAAAD/+/fU=")</f>
        <v>#VALUE!</v>
      </c>
      <c r="IM5" t="e">
        <f>AND(List1!C75,"AAAAAD/+/fY=")</f>
        <v>#VALUE!</v>
      </c>
      <c r="IN5" t="e">
        <f>AND(List1!D75,"AAAAAD/+/fc=")</f>
        <v>#VALUE!</v>
      </c>
      <c r="IO5" t="e">
        <f>AND(List1!E75,"AAAAAD/+/fg=")</f>
        <v>#VALUE!</v>
      </c>
      <c r="IP5" t="e">
        <f>AND(List1!F75,"AAAAAD/+/fk=")</f>
        <v>#VALUE!</v>
      </c>
      <c r="IQ5" t="e">
        <f>AND(List1!G75,"AAAAAD/+/fo=")</f>
        <v>#VALUE!</v>
      </c>
      <c r="IR5" t="e">
        <f>AND(List1!H75,"AAAAAD/+/fs=")</f>
        <v>#VALUE!</v>
      </c>
      <c r="IS5">
        <f>IF(List1!76:76,"AAAAAD/+/fw=",0)</f>
        <v>0</v>
      </c>
      <c r="IT5" t="e">
        <f>AND(List1!A76,"AAAAAD/+/f0=")</f>
        <v>#VALUE!</v>
      </c>
      <c r="IU5" t="e">
        <f>AND(List1!B76,"AAAAAD/+/f4=")</f>
        <v>#VALUE!</v>
      </c>
      <c r="IV5" t="e">
        <f>AND(List1!C76,"AAAAAD/+/f8=")</f>
        <v>#VALUE!</v>
      </c>
    </row>
    <row r="6" spans="1:256">
      <c r="A6" t="e">
        <f>AND(List1!D76,"AAAAAHp+8wA=")</f>
        <v>#VALUE!</v>
      </c>
      <c r="B6" t="e">
        <f>AND(List1!E76,"AAAAAHp+8wE=")</f>
        <v>#VALUE!</v>
      </c>
      <c r="C6" t="e">
        <f>AND(List1!F76,"AAAAAHp+8wI=")</f>
        <v>#VALUE!</v>
      </c>
      <c r="D6" t="e">
        <f>AND(List1!G76,"AAAAAHp+8wM=")</f>
        <v>#VALUE!</v>
      </c>
      <c r="E6" t="e">
        <f>AND(List1!H76,"AAAAAHp+8wQ=")</f>
        <v>#VALUE!</v>
      </c>
      <c r="F6">
        <f>IF(List1!77:77,"AAAAAHp+8wU=",0)</f>
        <v>0</v>
      </c>
      <c r="G6" t="e">
        <f>AND(List1!A77,"AAAAAHp+8wY=")</f>
        <v>#VALUE!</v>
      </c>
      <c r="H6" t="e">
        <f>AND(List1!B77,"AAAAAHp+8wc=")</f>
        <v>#VALUE!</v>
      </c>
      <c r="I6" t="e">
        <f>AND(List1!C77,"AAAAAHp+8wg=")</f>
        <v>#VALUE!</v>
      </c>
      <c r="J6" t="e">
        <f>AND(List1!D77,"AAAAAHp+8wk=")</f>
        <v>#VALUE!</v>
      </c>
      <c r="K6" t="e">
        <f>AND(List1!E77,"AAAAAHp+8wo=")</f>
        <v>#VALUE!</v>
      </c>
      <c r="L6" t="e">
        <f>AND(List1!F77,"AAAAAHp+8ws=")</f>
        <v>#VALUE!</v>
      </c>
      <c r="M6" t="e">
        <f>AND(List1!G77,"AAAAAHp+8ww=")</f>
        <v>#VALUE!</v>
      </c>
      <c r="N6" t="e">
        <f>AND(List1!H77,"AAAAAHp+8w0=")</f>
        <v>#VALUE!</v>
      </c>
      <c r="O6" t="e">
        <f>AND(List1!G78,"AAAAAHp+8w4=")</f>
        <v>#VALUE!</v>
      </c>
      <c r="P6" t="e">
        <f>AND(List1!H78,"AAAAAHp+8w8=")</f>
        <v>#VALUE!</v>
      </c>
      <c r="Q6" t="e">
        <f>AND(List1!G79,"AAAAAHp+8xA=")</f>
        <v>#VALUE!</v>
      </c>
      <c r="R6" t="e">
        <f>AND(List1!H79,"AAAAAHp+8xE=")</f>
        <v>#VALUE!</v>
      </c>
      <c r="S6" t="e">
        <f>AND(List1!G80,"AAAAAHp+8xI=")</f>
        <v>#VALUE!</v>
      </c>
      <c r="T6" t="e">
        <f>AND(List1!H80,"AAAAAHp+8xM=")</f>
        <v>#VALUE!</v>
      </c>
      <c r="U6" t="e">
        <f>AND(List1!G81,"AAAAAHp+8xQ=")</f>
        <v>#VALUE!</v>
      </c>
      <c r="V6" t="e">
        <f>AND(List1!H81,"AAAAAHp+8xU=")</f>
        <v>#VALUE!</v>
      </c>
      <c r="W6" t="e">
        <f>AND(List1!#REF!,"AAAAAHp+8xY=")</f>
        <v>#REF!</v>
      </c>
      <c r="X6" t="e">
        <f>AND(List1!#REF!,"AAAAAHp+8xc=")</f>
        <v>#REF!</v>
      </c>
      <c r="Y6" t="e">
        <f>AND(List1!#REF!,"AAAAAHp+8xg=")</f>
        <v>#REF!</v>
      </c>
      <c r="Z6" t="e">
        <f>AND(List1!#REF!,"AAAAAHp+8xk=")</f>
        <v>#REF!</v>
      </c>
      <c r="AA6" t="e">
        <f>AND(List1!#REF!,"AAAAAHp+8xo=")</f>
        <v>#REF!</v>
      </c>
      <c r="AB6" t="e">
        <f>AND(List1!#REF!,"AAAAAHp+8xs=")</f>
        <v>#REF!</v>
      </c>
      <c r="AC6" t="e">
        <f>AND(List1!#REF!,"AAAAAHp+8xw=")</f>
        <v>#REF!</v>
      </c>
      <c r="AD6" t="e">
        <f>AND(List1!#REF!,"AAAAAHp+8x0=")</f>
        <v>#REF!</v>
      </c>
      <c r="AE6" t="e">
        <f>AND(List1!#REF!,"AAAAAHp+8x4=")</f>
        <v>#REF!</v>
      </c>
      <c r="AF6" t="e">
        <f>AND(List1!#REF!,"AAAAAHp+8x8=")</f>
        <v>#REF!</v>
      </c>
      <c r="AG6" t="e">
        <f>AND(List1!#REF!,"AAAAAHp+8yA=")</f>
        <v>#REF!</v>
      </c>
      <c r="AH6" t="e">
        <f>AND(List1!#REF!,"AAAAAHp+8yE=")</f>
        <v>#REF!</v>
      </c>
      <c r="AI6" t="e">
        <f>AND(List1!G90,"AAAAAHp+8yI=")</f>
        <v>#VALUE!</v>
      </c>
      <c r="AJ6" t="e">
        <f>AND(List1!H90,"AAAAAHp+8yM=")</f>
        <v>#VALUE!</v>
      </c>
      <c r="AK6">
        <f>IF(List1!91:91,"AAAAAHp+8yQ=",0)</f>
        <v>0</v>
      </c>
      <c r="AL6" t="e">
        <f>AND(List1!A91,"AAAAAHp+8yU=")</f>
        <v>#VALUE!</v>
      </c>
      <c r="AM6" t="e">
        <f>AND(List1!B91,"AAAAAHp+8yY=")</f>
        <v>#VALUE!</v>
      </c>
      <c r="AN6" t="e">
        <f>AND(List1!C91,"AAAAAHp+8yc=")</f>
        <v>#VALUE!</v>
      </c>
      <c r="AO6" t="e">
        <f>AND(List1!D91,"AAAAAHp+8yg=")</f>
        <v>#VALUE!</v>
      </c>
      <c r="AP6" t="e">
        <f>AND(List1!E91,"AAAAAHp+8yk=")</f>
        <v>#VALUE!</v>
      </c>
      <c r="AQ6" t="e">
        <f>AND(List1!F91,"AAAAAHp+8yo=")</f>
        <v>#VALUE!</v>
      </c>
      <c r="AR6" t="e">
        <f>AND(List1!G91,"AAAAAHp+8ys=")</f>
        <v>#VALUE!</v>
      </c>
      <c r="AS6" t="e">
        <f>AND(List1!H91,"AAAAAHp+8yw=")</f>
        <v>#VALUE!</v>
      </c>
      <c r="AT6">
        <f>IF(List1!92:92,"AAAAAHp+8y0=",0)</f>
        <v>0</v>
      </c>
      <c r="AU6" t="e">
        <f>AND(List1!A92,"AAAAAHp+8y4=")</f>
        <v>#VALUE!</v>
      </c>
      <c r="AV6" t="e">
        <f>AND(List1!B92,"AAAAAHp+8y8=")</f>
        <v>#VALUE!</v>
      </c>
      <c r="AW6" t="e">
        <f>AND(List1!C92,"AAAAAHp+8zA=")</f>
        <v>#VALUE!</v>
      </c>
      <c r="AX6" t="e">
        <f>AND(List1!D92,"AAAAAHp+8zE=")</f>
        <v>#VALUE!</v>
      </c>
      <c r="AY6" t="e">
        <f>AND(List1!E92,"AAAAAHp+8zI=")</f>
        <v>#VALUE!</v>
      </c>
      <c r="AZ6" t="e">
        <f>AND(List1!F92,"AAAAAHp+8zM=")</f>
        <v>#VALUE!</v>
      </c>
      <c r="BA6" t="e">
        <f>AND(List1!G92,"AAAAAHp+8zQ=")</f>
        <v>#VALUE!</v>
      </c>
      <c r="BB6" t="e">
        <f>AND(List1!H92,"AAAAAHp+8zU=")</f>
        <v>#VALUE!</v>
      </c>
      <c r="BC6" t="e">
        <f>AND(List1!G93,"AAAAAHp+8zY=")</f>
        <v>#VALUE!</v>
      </c>
      <c r="BD6" t="e">
        <f>AND(List1!H93,"AAAAAHp+8zc=")</f>
        <v>#VALUE!</v>
      </c>
      <c r="BE6" t="e">
        <f>AND(List1!G94,"AAAAAHp+8zg=")</f>
        <v>#VALUE!</v>
      </c>
      <c r="BF6" t="e">
        <f>AND(List1!H94,"AAAAAHp+8zk=")</f>
        <v>#VALUE!</v>
      </c>
      <c r="BG6" t="e">
        <f>AND(List1!G95,"AAAAAHp+8zo=")</f>
        <v>#VALUE!</v>
      </c>
      <c r="BH6" t="e">
        <f>AND(List1!H95,"AAAAAHp+8zs=")</f>
        <v>#VALUE!</v>
      </c>
      <c r="BI6" t="e">
        <f>AND(List1!G100,"AAAAAHp+8zw=")</f>
        <v>#VALUE!</v>
      </c>
      <c r="BJ6" t="e">
        <f>AND(List1!H100,"AAAAAHp+8z0=")</f>
        <v>#VALUE!</v>
      </c>
      <c r="BK6" t="e">
        <f>AND(List1!G101,"AAAAAHp+8z4=")</f>
        <v>#VALUE!</v>
      </c>
      <c r="BL6" t="e">
        <f>AND(List1!H101,"AAAAAHp+8z8=")</f>
        <v>#VALUE!</v>
      </c>
      <c r="BM6" t="e">
        <f>AND(List1!D108,"AAAAAHp+80A=")</f>
        <v>#VALUE!</v>
      </c>
      <c r="BN6" t="e">
        <f>AND(List1!E108,"AAAAAHp+80E=")</f>
        <v>#VALUE!</v>
      </c>
      <c r="BO6">
        <f>IF(List1!109:109,"AAAAAHp+80I=",0)</f>
        <v>0</v>
      </c>
      <c r="BP6" t="e">
        <f>AND(List1!A109,"AAAAAHp+80M=")</f>
        <v>#VALUE!</v>
      </c>
      <c r="BQ6" t="e">
        <f>AND(List1!B109,"AAAAAHp+80Q=")</f>
        <v>#VALUE!</v>
      </c>
      <c r="BR6" t="e">
        <f>AND(List1!C109,"AAAAAHp+80U=")</f>
        <v>#VALUE!</v>
      </c>
      <c r="BS6" t="e">
        <f>AND(List1!D109,"AAAAAHp+80Y=")</f>
        <v>#VALUE!</v>
      </c>
      <c r="BT6" t="e">
        <f>AND(List1!E109,"AAAAAHp+80c=")</f>
        <v>#VALUE!</v>
      </c>
      <c r="BU6">
        <f>IF(List1!110:110,"AAAAAHp+80g=",0)</f>
        <v>0</v>
      </c>
      <c r="BV6" t="e">
        <f>AND(List1!A110,"AAAAAHp+80k=")</f>
        <v>#VALUE!</v>
      </c>
      <c r="BW6" t="e">
        <f>AND(List1!B110,"AAAAAHp+80o=")</f>
        <v>#VALUE!</v>
      </c>
      <c r="BX6" t="e">
        <f>AND(List1!C110,"AAAAAHp+80s=")</f>
        <v>#VALUE!</v>
      </c>
      <c r="BY6" t="e">
        <f>AND(List1!D110,"AAAAAHp+80w=")</f>
        <v>#VALUE!</v>
      </c>
      <c r="BZ6" t="e">
        <f>AND(List1!E110,"AAAAAHp+800=")</f>
        <v>#VALUE!</v>
      </c>
      <c r="CA6">
        <f>IF(List1!111:111,"AAAAAHp+804=",0)</f>
        <v>0</v>
      </c>
      <c r="CB6" t="e">
        <f>AND(List1!A111,"AAAAAHp+808=")</f>
        <v>#VALUE!</v>
      </c>
      <c r="CC6" t="e">
        <f>AND(List1!B111,"AAAAAHp+81A=")</f>
        <v>#VALUE!</v>
      </c>
      <c r="CD6" t="e">
        <f>AND(List1!C111,"AAAAAHp+81E=")</f>
        <v>#VALUE!</v>
      </c>
      <c r="CE6" t="e">
        <f>AND(List1!D111,"AAAAAHp+81I=")</f>
        <v>#VALUE!</v>
      </c>
      <c r="CF6" t="e">
        <f>AND(List1!E111,"AAAAAHp+81M=")</f>
        <v>#VALUE!</v>
      </c>
      <c r="CG6">
        <f>IF(List1!G:G,"AAAAAHp+81Q=",0)</f>
        <v>0</v>
      </c>
      <c r="CH6">
        <f>IF(List1!H:H,"AAAAAHp+81U=",0)</f>
        <v>0</v>
      </c>
      <c r="CI6" t="e">
        <f>IF("N",List1!_xlnm.Print_Area,"AAAAAHp+81Y=")</f>
        <v>#VALUE!</v>
      </c>
    </row>
    <row r="7" spans="1:256">
      <c r="A7" t="e">
        <f>IF("N",List1!_xlnm.Print_Area,"AAAAAH633wA=")</f>
        <v>#VALUE!</v>
      </c>
    </row>
  </sheetData>
  <pageMargins left="0.7" right="0.7" top="0.78740157499999996" bottom="0.78740157499999996" header="0.3" footer="0.3"/>
  <customProperties>
    <customPr name="DVSECTION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Chlumský</dc:creator>
  <cp:lastModifiedBy>Martin Chlumský</cp:lastModifiedBy>
  <cp:lastPrinted>2013-02-28T08:16:49Z</cp:lastPrinted>
  <dcterms:created xsi:type="dcterms:W3CDTF">2013-02-28T07:20:46Z</dcterms:created>
  <dcterms:modified xsi:type="dcterms:W3CDTF">2014-03-04T18:44:19Z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true</vt:lpwstr>
  </property>
  <property fmtid="{D5CDD505-2E9C-101B-9397-08002B2CF9AE}" pid="3" name="Google.Documents.DocumentId">
    <vt:lpwstr>1uLthJz8OpohlmUH6CKmopMkDU2FlKmOt4KxhlRkU2KI</vt:lpwstr>
  </property>
  <property fmtid="{D5CDD505-2E9C-101B-9397-08002B2CF9AE}" pid="4" name="Google.Documents.RevisionId">
    <vt:lpwstr>05078140308871720237</vt:lpwstr>
  </property>
  <property fmtid="{D5CDD505-2E9C-101B-9397-08002B2CF9AE}" pid="5" name="Google.Documents.PreviousRevisionId">
    <vt:lpwstr>05760635105300307213</vt:lpwstr>
  </property>
  <property fmtid="{D5CDD505-2E9C-101B-9397-08002B2CF9AE}" pid="6" name="Google.Documents.PluginVersion">
    <vt:lpwstr>2.0.2662.553</vt:lpwstr>
  </property>
  <property fmtid="{D5CDD505-2E9C-101B-9397-08002B2CF9AE}" pid="7" name="Google.Documents.MergeIncapabilityFlags">
    <vt:i4>0</vt:i4>
  </property>
</Properties>
</file>